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20" lockStructure="1"/>
  <bookViews>
    <workbookView xWindow="-15" yWindow="-15" windowWidth="10245" windowHeight="7980" tabRatio="871" firstSheet="1" activeTab="1"/>
  </bookViews>
  <sheets>
    <sheet name="Master Input Tab" sheetId="16" state="hidden" r:id="rId1"/>
    <sheet name="ONE PAGE SUMMARY" sheetId="23" r:id="rId2"/>
    <sheet name="Total Summary" sheetId="13" r:id="rId3"/>
    <sheet name="General Fund" sheetId="19" r:id="rId4"/>
    <sheet name="Road Fund" sheetId="18" r:id="rId5"/>
    <sheet name="Lake Fund" sheetId="17" r:id="rId6"/>
    <sheet name="Emergency Fund" sheetId="22" r:id="rId7"/>
    <sheet name="Cash Flows" sheetId="21" r:id="rId8"/>
    <sheet name="Major Projects" sheetId="20" state="hidden" r:id="rId9"/>
    <sheet name="August" sheetId="12" state="hidden" r:id="rId10"/>
    <sheet name="Summary" sheetId="2" state="hidden" r:id="rId11"/>
    <sheet name="Revenue" sheetId="14" state="hidden" r:id="rId12"/>
    <sheet name="Lodge &amp; Pool" sheetId="1" state="hidden" r:id="rId13"/>
    <sheet name="Campground" sheetId="4" state="hidden" r:id="rId14"/>
    <sheet name="Beach" sheetId="5" state="hidden" r:id="rId15"/>
    <sheet name="Property Owner Services" sheetId="6" state="hidden" r:id="rId16"/>
    <sheet name="Roads &amp; Mowing (2)" sheetId="10" state="hidden" r:id="rId17"/>
    <sheet name="Security" sheetId="8" state="hidden" r:id="rId18"/>
    <sheet name="Conservation" sheetId="9" state="hidden" r:id="rId19"/>
    <sheet name="Finance" sheetId="3" state="hidden" r:id="rId20"/>
  </sheets>
  <definedNames>
    <definedName name="_xlnm._FilterDatabase" localSheetId="9" hidden="1">August!$I$2:$K$112</definedName>
    <definedName name="_xlnm.Print_Area" localSheetId="14">Beach!$A$1:$J$14</definedName>
    <definedName name="_xlnm.Print_Area" localSheetId="13">Campground!$A$1:$J$11</definedName>
    <definedName name="_xlnm.Print_Area" localSheetId="18">Conservation!$A$1:$J$13</definedName>
    <definedName name="_xlnm.Print_Area" localSheetId="6">'Emergency Fund'!$A$1:$Y$157</definedName>
    <definedName name="_xlnm.Print_Area" localSheetId="3">'General Fund'!$A$1:$Y$157</definedName>
    <definedName name="_xlnm.Print_Area" localSheetId="5">'Lake Fund'!$A$1:$Y$157</definedName>
    <definedName name="_xlnm.Print_Area" localSheetId="12">'Lodge &amp; Pool'!$A$1:$J$26</definedName>
    <definedName name="_xlnm.Print_Area" localSheetId="15">'Property Owner Services'!$A$1:$L$36</definedName>
    <definedName name="_xlnm.Print_Area" localSheetId="11">Revenue!$A$1:$J$23</definedName>
    <definedName name="_xlnm.Print_Area" localSheetId="4">'Road Fund'!$A$1:$Y$157</definedName>
    <definedName name="_xlnm.Print_Area" localSheetId="16">'Roads &amp; Mowing (2)'!$A$1:$M$25</definedName>
    <definedName name="_xlnm.Print_Area" localSheetId="17">Security!$A$1:$M$7</definedName>
    <definedName name="_xlnm.Print_Area" localSheetId="10">Summary!$A$1:$H$20</definedName>
    <definedName name="_xlnm.Print_Area" localSheetId="2">'Total Summary'!$A$1:$Y$157</definedName>
    <definedName name="_xlnm.Print_Titles" localSheetId="9">August!$A:$H,August!$1:$2</definedName>
    <definedName name="_xlnm.Print_Titles" localSheetId="6">'Emergency Fund'!$2:$4</definedName>
    <definedName name="_xlnm.Print_Titles" localSheetId="3">'General Fund'!$2:$4</definedName>
    <definedName name="_xlnm.Print_Titles" localSheetId="5">'Lake Fund'!$2:$4</definedName>
    <definedName name="_xlnm.Print_Titles" localSheetId="4">'Road Fund'!$2:$4</definedName>
    <definedName name="_xlnm.Print_Titles" localSheetId="2">'Total Summary'!$2:$4</definedName>
    <definedName name="QB_COLUMN_59200" localSheetId="9" hidden="1">August!$I$2</definedName>
    <definedName name="QB_COLUMN_62210" localSheetId="9" hidden="1">August!$K$2</definedName>
    <definedName name="QB_DATA_0" localSheetId="9" hidden="1">August!$5:$5,August!$6:$6,August!$7:$7,August!$8:$8,August!$9:$9,August!$10:$10,August!$11:$11,August!$12:$12,August!$13:$13,August!$14:$14,August!$15:$15,August!$16:$16,August!$17:$17,August!$18:$18,August!$19:$19,August!$20:$20</definedName>
    <definedName name="QB_DATA_1" localSheetId="9" hidden="1">August!$21:$21,August!$22:$22,August!$23:$23,August!$29:$29,August!$32:$32,August!$33:$33,August!$34:$34,August!$35:$35,August!$36:$36,August!$37:$37,August!$38:$38,August!$39:$39,August!$40:$40,August!$41:$41,August!$42:$42,August!$43:$43</definedName>
    <definedName name="QB_DATA_2" localSheetId="9" hidden="1">August!$44:$44,August!$45:$45,August!$46:$46,August!$50:$50,August!$51:$51,August!$52:$52,August!$53:$53,August!$54:$54,August!$57:$57,August!$58:$58,August!$59:$59,August!$63:$63,August!$64:$64,August!$65:$65,August!$66:$66,August!$67:$67</definedName>
    <definedName name="QB_DATA_3" localSheetId="9" hidden="1">August!$68:$68,August!$69:$69,August!$70:$70,August!$71:$71,August!$72:$72,August!$73:$73,August!$74:$74,August!$75:$75,August!$76:$76,August!$77:$77,August!$78:$78,August!$79:$79,August!$80:$80,August!$81:$81,August!$82:$82,August!$83:$83</definedName>
    <definedName name="QB_DATA_4" localSheetId="9" hidden="1">August!$86:$86,August!$87:$87,August!$88:$88,August!$89:$89,August!$90:$90,August!$91:$91,August!$92:$92,August!$93:$93,August!$94:$94,August!$95:$95,August!$99:$99,August!$100:$100,August!$101:$101,August!$102:$102,August!$103:$103,August!$106:$106</definedName>
    <definedName name="QB_DATA_5" localSheetId="9" hidden="1">August!$108:$108,August!$109:$109</definedName>
    <definedName name="QB_FORMULA_0" localSheetId="9" hidden="1">August!$I$24,August!$K$24,August!$I$25,August!$K$25,August!$I$30,August!$K$30,August!$I$47,August!$K$47,August!$I$55,August!$K$55,August!$I$60,August!$K$60,August!$I$61,August!$K$61,August!$I$84,August!$K$84</definedName>
    <definedName name="QB_FORMULA_1" localSheetId="9" hidden="1">August!$I$96,August!$K$96,August!$I$97,August!$K$97,August!$I$104,August!$K$104,August!$I$107,August!$K$107,August!$I$110,August!$K$110,August!$I$111,August!$K$111,August!$I$112,August!$K$112</definedName>
    <definedName name="QB_ROW_100260" localSheetId="9" hidden="1">August!$G$43</definedName>
    <definedName name="QB_ROW_102260" localSheetId="9" hidden="1">August!$G$44</definedName>
    <definedName name="QB_ROW_10240" localSheetId="9" hidden="1">August!$E$11</definedName>
    <definedName name="QB_ROW_105260" localSheetId="9" hidden="1">August!$G$45</definedName>
    <definedName name="QB_ROW_106260" localSheetId="9" hidden="1">August!$G$46</definedName>
    <definedName name="QB_ROW_12240" localSheetId="9" hidden="1">August!$E$12</definedName>
    <definedName name="QB_ROW_1260" localSheetId="9" hidden="1">August!$G$82</definedName>
    <definedName name="QB_ROW_13240" localSheetId="9" hidden="1">August!$E$13</definedName>
    <definedName name="QB_ROW_142050" localSheetId="9" hidden="1">August!$F$62</definedName>
    <definedName name="QB_ROW_142350" localSheetId="9" hidden="1">August!$F$84</definedName>
    <definedName name="QB_ROW_15340" localSheetId="9" hidden="1">August!$E$14</definedName>
    <definedName name="QB_ROW_160260" localSheetId="9" hidden="1">August!$G$87</definedName>
    <definedName name="QB_ROW_162240" localSheetId="9" hidden="1">August!$E$23</definedName>
    <definedName name="QB_ROW_16240" localSheetId="9" hidden="1">August!$E$15</definedName>
    <definedName name="QB_ROW_171260" localSheetId="9" hidden="1">August!$G$71</definedName>
    <definedName name="QB_ROW_174250" localSheetId="9" hidden="1">August!$F$102</definedName>
    <definedName name="QB_ROW_179260" localSheetId="9" hidden="1">August!$G$75</definedName>
    <definedName name="QB_ROW_181270" localSheetId="9" hidden="1">August!$H$50</definedName>
    <definedName name="QB_ROW_18240" localSheetId="9" hidden="1">August!$E$16</definedName>
    <definedName name="QB_ROW_18301" localSheetId="9" hidden="1">August!$A$112</definedName>
    <definedName name="QB_ROW_188260" localSheetId="9" hidden="1">August!$G$80</definedName>
    <definedName name="QB_ROW_19011" localSheetId="9" hidden="1">August!$B$3</definedName>
    <definedName name="QB_ROW_19311" localSheetId="9" hidden="1">August!$B$111</definedName>
    <definedName name="QB_ROW_200240" localSheetId="9" hidden="1">August!$E$18</definedName>
    <definedName name="QB_ROW_20031" localSheetId="9" hidden="1">August!$D$4</definedName>
    <definedName name="QB_ROW_202240" localSheetId="9" hidden="1">August!$E$21</definedName>
    <definedName name="QB_ROW_20240" localSheetId="9" hidden="1">August!$E$17</definedName>
    <definedName name="QB_ROW_20331" localSheetId="9" hidden="1">August!$D$24</definedName>
    <definedName name="QB_ROW_206040" localSheetId="9" hidden="1">August!$E$27</definedName>
    <definedName name="QB_ROW_206340" localSheetId="9" hidden="1">August!$E$97</definedName>
    <definedName name="QB_ROW_210240" localSheetId="9" hidden="1">August!$E$108</definedName>
    <definedName name="QB_ROW_21031" localSheetId="9" hidden="1">August!$D$26</definedName>
    <definedName name="QB_ROW_21331" localSheetId="9" hidden="1">August!$D$110</definedName>
    <definedName name="QB_ROW_214040" localSheetId="9" hidden="1">August!$E$98</definedName>
    <definedName name="QB_ROW_214340" localSheetId="9" hidden="1">August!$E$104</definedName>
    <definedName name="QB_ROW_215040" localSheetId="9" hidden="1">August!$E$105</definedName>
    <definedName name="QB_ROW_215340" localSheetId="9" hidden="1">August!$E$107</definedName>
    <definedName name="QB_ROW_216060" localSheetId="9" hidden="1">August!$G$49</definedName>
    <definedName name="QB_ROW_216360" localSheetId="9" hidden="1">August!$G$55</definedName>
    <definedName name="QB_ROW_237260" localSheetId="9" hidden="1">August!$G$95</definedName>
    <definedName name="QB_ROW_240250" localSheetId="9" hidden="1">August!$F$100</definedName>
    <definedName name="QB_ROW_259240" localSheetId="9" hidden="1">August!$E$19</definedName>
    <definedName name="QB_ROW_260260" localSheetId="9" hidden="1">August!$G$40</definedName>
    <definedName name="QB_ROW_262240" localSheetId="9" hidden="1">August!$E$109</definedName>
    <definedName name="QB_ROW_26240" localSheetId="9" hidden="1">August!$E$20</definedName>
    <definedName name="QB_ROW_265260" localSheetId="9" hidden="1">August!$G$83</definedName>
    <definedName name="QB_ROW_266260" localSheetId="9" hidden="1">August!$G$32</definedName>
    <definedName name="QB_ROW_27240" localSheetId="9" hidden="1">August!$E$22</definedName>
    <definedName name="QB_ROW_31260" localSheetId="9" hidden="1">August!$G$63</definedName>
    <definedName name="QB_ROW_32260" localSheetId="9" hidden="1">August!$G$64</definedName>
    <definedName name="QB_ROW_33260" localSheetId="9" hidden="1">August!$G$65</definedName>
    <definedName name="QB_ROW_34260" localSheetId="9" hidden="1">August!$G$66</definedName>
    <definedName name="QB_ROW_35260" localSheetId="9" hidden="1">August!$G$67</definedName>
    <definedName name="QB_ROW_36260" localSheetId="9" hidden="1">August!$G$68</definedName>
    <definedName name="QB_ROW_37260" localSheetId="9" hidden="1">August!$G$69</definedName>
    <definedName name="QB_ROW_39360" localSheetId="9" hidden="1">August!$G$70</definedName>
    <definedName name="QB_ROW_40250" localSheetId="9" hidden="1">August!$F$101</definedName>
    <definedName name="QB_ROW_41260" localSheetId="9" hidden="1">August!$G$72</definedName>
    <definedName name="QB_ROW_42260" localSheetId="9" hidden="1">August!$G$73</definedName>
    <definedName name="QB_ROW_4240" localSheetId="9" hidden="1">August!$E$5</definedName>
    <definedName name="QB_ROW_43260" localSheetId="9" hidden="1">August!$G$74</definedName>
    <definedName name="QB_ROW_45250" localSheetId="9" hidden="1">August!$F$103</definedName>
    <definedName name="QB_ROW_47260" localSheetId="9" hidden="1">August!$G$76</definedName>
    <definedName name="QB_ROW_48250" localSheetId="9" hidden="1">August!$F$106</definedName>
    <definedName name="QB_ROW_49260" localSheetId="9" hidden="1">August!$G$77</definedName>
    <definedName name="QB_ROW_50250" localSheetId="9" hidden="1">August!$F$99</definedName>
    <definedName name="QB_ROW_51260" localSheetId="9" hidden="1">August!$G$78</definedName>
    <definedName name="QB_ROW_5240" localSheetId="9" hidden="1">August!$E$6</definedName>
    <definedName name="QB_ROW_53260" localSheetId="9" hidden="1">August!$G$79</definedName>
    <definedName name="QB_ROW_54270" localSheetId="9" hidden="1">August!$H$54</definedName>
    <definedName name="QB_ROW_57260" localSheetId="9" hidden="1">August!$G$29</definedName>
    <definedName name="QB_ROW_58050" localSheetId="9" hidden="1">August!$F$28</definedName>
    <definedName name="QB_ROW_58350" localSheetId="9" hidden="1">August!$F$30</definedName>
    <definedName name="QB_ROW_61060" localSheetId="9" hidden="1">August!$G$56</definedName>
    <definedName name="QB_ROW_61360" localSheetId="9" hidden="1">August!$G$60</definedName>
    <definedName name="QB_ROW_6240" localSheetId="9" hidden="1">August!$E$7</definedName>
    <definedName name="QB_ROW_63270" localSheetId="9" hidden="1">August!$H$57</definedName>
    <definedName name="QB_ROW_64270" localSheetId="9" hidden="1">August!$H$58</definedName>
    <definedName name="QB_ROW_65270" localSheetId="9" hidden="1">August!$H$59</definedName>
    <definedName name="QB_ROW_66050" localSheetId="9" hidden="1">August!$F$85</definedName>
    <definedName name="QB_ROW_66350" localSheetId="9" hidden="1">August!$F$96</definedName>
    <definedName name="QB_ROW_68260" localSheetId="9" hidden="1">August!$G$86</definedName>
    <definedName name="QB_ROW_71260" localSheetId="9" hidden="1">August!$G$88</definedName>
    <definedName name="QB_ROW_7240" localSheetId="9" hidden="1">August!$E$8</definedName>
    <definedName name="QB_ROW_73260" localSheetId="9" hidden="1">August!$G$89</definedName>
    <definedName name="QB_ROW_75260" localSheetId="9" hidden="1">August!$G$90</definedName>
    <definedName name="QB_ROW_76260" localSheetId="9" hidden="1">August!$G$91</definedName>
    <definedName name="QB_ROW_78260" localSheetId="9" hidden="1">August!$G$92</definedName>
    <definedName name="QB_ROW_80260" localSheetId="9" hidden="1">August!$G$93</definedName>
    <definedName name="QB_ROW_8240" localSheetId="9" hidden="1">August!$E$9</definedName>
    <definedName name="QB_ROW_83260" localSheetId="9" hidden="1">August!$G$81</definedName>
    <definedName name="QB_ROW_84260" localSheetId="9" hidden="1">August!$G$94</definedName>
    <definedName name="QB_ROW_85050" localSheetId="9" hidden="1">August!$F$48</definedName>
    <definedName name="QB_ROW_85350" localSheetId="9" hidden="1">August!$F$61</definedName>
    <definedName name="QB_ROW_86321" localSheetId="9" hidden="1">August!$C$25</definedName>
    <definedName name="QB_ROW_87270" localSheetId="9" hidden="1">August!$H$51</definedName>
    <definedName name="QB_ROW_88270" localSheetId="9" hidden="1">August!$H$52</definedName>
    <definedName name="QB_ROW_89270" localSheetId="9" hidden="1">August!$H$53</definedName>
    <definedName name="QB_ROW_90050" localSheetId="9" hidden="1">August!$F$31</definedName>
    <definedName name="QB_ROW_90350" localSheetId="9" hidden="1">August!$F$47</definedName>
    <definedName name="QB_ROW_91260" localSheetId="9" hidden="1">August!$G$33</definedName>
    <definedName name="QB_ROW_92260" localSheetId="9" hidden="1">August!$G$34</definedName>
    <definedName name="QB_ROW_9240" localSheetId="9" hidden="1">August!$E$10</definedName>
    <definedName name="QB_ROW_93260" localSheetId="9" hidden="1">August!$G$35</definedName>
    <definedName name="QB_ROW_94260" localSheetId="9" hidden="1">August!$G$36</definedName>
    <definedName name="QB_ROW_95260" localSheetId="9" hidden="1">August!$G$37</definedName>
    <definedName name="QB_ROW_96260" localSheetId="9" hidden="1">August!$G$38</definedName>
    <definedName name="QB_ROW_97260" localSheetId="9" hidden="1">August!$G$39</definedName>
    <definedName name="QB_ROW_98260" localSheetId="9" hidden="1">August!$G$41</definedName>
    <definedName name="QB_ROW_99260" localSheetId="9" hidden="1">August!$G$42</definedName>
    <definedName name="QBCANSUPPORTUPDATE" localSheetId="9">TRUE</definedName>
    <definedName name="QBCOMPANYFILENAME" localSheetId="9">"C:\Users\Shelli\Heritage Lake Association, Inc 1.QBW"</definedName>
    <definedName name="QBENDDATE" localSheetId="9">20130831</definedName>
    <definedName name="QBHEADERSONSCREEN" localSheetId="9">FALSE</definedName>
    <definedName name="QBMETADATASIZE" localSheetId="9">5785</definedName>
    <definedName name="QBPRESERVECOLOR" localSheetId="9">TRUE</definedName>
    <definedName name="QBPRESERVEFONT" localSheetId="9">TRUE</definedName>
    <definedName name="QBPRESERVEROWHEIGHT" localSheetId="9">TRUE</definedName>
    <definedName name="QBPRESERVESPACE" localSheetId="9">TRUE</definedName>
    <definedName name="QBREPORTCOLAXIS" localSheetId="9">0</definedName>
    <definedName name="QBREPORTCOMPANYID" localSheetId="9">"b06aa2ca8a124a08acaa61da284907fb"</definedName>
    <definedName name="QBREPORTCOMPARECOL_ANNUALBUDGET" localSheetId="9">FALSE</definedName>
    <definedName name="QBREPORTCOMPARECOL_AVGCOGS" localSheetId="9">FALSE</definedName>
    <definedName name="QBREPORTCOMPARECOL_AVGPRICE" localSheetId="9">FALSE</definedName>
    <definedName name="QBREPORTCOMPARECOL_BUDDIFF" localSheetId="9">FALSE</definedName>
    <definedName name="QBREPORTCOMPARECOL_BUDGET" localSheetId="9">FALSE</definedName>
    <definedName name="QBREPORTCOMPARECOL_BUDPCT" localSheetId="9">FALSE</definedName>
    <definedName name="QBREPORTCOMPARECOL_COGS" localSheetId="9">FALSE</definedName>
    <definedName name="QBREPORTCOMPARECOL_EXCLUDEAMOUNT" localSheetId="9">FALSE</definedName>
    <definedName name="QBREPORTCOMPARECOL_EXCLUDECURPERIOD" localSheetId="9">FALSE</definedName>
    <definedName name="QBREPORTCOMPARECOL_FORECAST" localSheetId="9">FALSE</definedName>
    <definedName name="QBREPORTCOMPARECOL_GROSSMARGIN" localSheetId="9">FALSE</definedName>
    <definedName name="QBREPORTCOMPARECOL_GROSSMARGINPCT" localSheetId="9">FALSE</definedName>
    <definedName name="QBREPORTCOMPARECOL_HOURS" localSheetId="9">FALSE</definedName>
    <definedName name="QBREPORTCOMPARECOL_PCTCOL" localSheetId="9">FALSE</definedName>
    <definedName name="QBREPORTCOMPARECOL_PCTEXPENSE" localSheetId="9">FALSE</definedName>
    <definedName name="QBREPORTCOMPARECOL_PCTINCOME" localSheetId="9">FALSE</definedName>
    <definedName name="QBREPORTCOMPARECOL_PCTOFSALES" localSheetId="9">FALSE</definedName>
    <definedName name="QBREPORTCOMPARECOL_PCTROW" localSheetId="9">FALSE</definedName>
    <definedName name="QBREPORTCOMPARECOL_PPDIFF" localSheetId="9">FALSE</definedName>
    <definedName name="QBREPORTCOMPARECOL_PPPCT" localSheetId="9">FALSE</definedName>
    <definedName name="QBREPORTCOMPARECOL_PREVPERIOD" localSheetId="9">FALSE</definedName>
    <definedName name="QBREPORTCOMPARECOL_PREVYEAR" localSheetId="9">FALSE</definedName>
    <definedName name="QBREPORTCOMPARECOL_PYDIFF" localSheetId="9">FALSE</definedName>
    <definedName name="QBREPORTCOMPARECOL_PYPCT" localSheetId="9">FALSE</definedName>
    <definedName name="QBREPORTCOMPARECOL_QTY" localSheetId="9">FALSE</definedName>
    <definedName name="QBREPORTCOMPARECOL_RATE" localSheetId="9">FALSE</definedName>
    <definedName name="QBREPORTCOMPARECOL_TRIPBILLEDMILES" localSheetId="9">FALSE</definedName>
    <definedName name="QBREPORTCOMPARECOL_TRIPBILLINGAMOUNT" localSheetId="9">FALSE</definedName>
    <definedName name="QBREPORTCOMPARECOL_TRIPMILES" localSheetId="9">FALSE</definedName>
    <definedName name="QBREPORTCOMPARECOL_TRIPNOTBILLABLEMILES" localSheetId="9">FALSE</definedName>
    <definedName name="QBREPORTCOMPARECOL_TRIPTAXDEDUCTIBLEAMOUNT" localSheetId="9">FALSE</definedName>
    <definedName name="QBREPORTCOMPARECOL_TRIPUNBILLEDMILES" localSheetId="9">FALSE</definedName>
    <definedName name="QBREPORTCOMPARECOL_YTD" localSheetId="9">TRUE</definedName>
    <definedName name="QBREPORTCOMPARECOL_YTDBUDGET" localSheetId="9">FALSE</definedName>
    <definedName name="QBREPORTCOMPARECOL_YTDPCT" localSheetId="9">FALSE</definedName>
    <definedName name="QBREPORTROWAXIS" localSheetId="9">11</definedName>
    <definedName name="QBREPORTSUBCOLAXIS" localSheetId="9">24</definedName>
    <definedName name="QBREPORTTYPE" localSheetId="9">0</definedName>
    <definedName name="QBROWHEADERS" localSheetId="9">8</definedName>
    <definedName name="QBSTARTDATE" localSheetId="9">20130801</definedName>
  </definedNames>
  <calcPr calcId="145621" iterate="1"/>
</workbook>
</file>

<file path=xl/calcChain.xml><?xml version="1.0" encoding="utf-8"?>
<calcChain xmlns="http://schemas.openxmlformats.org/spreadsheetml/2006/main">
  <c r="D7" i="21" l="1"/>
  <c r="D10" i="21" s="1"/>
  <c r="F45" i="23" l="1"/>
  <c r="F44" i="23"/>
  <c r="F43" i="23"/>
  <c r="F42" i="23"/>
  <c r="F41" i="23"/>
  <c r="F40" i="23"/>
  <c r="F39" i="23"/>
  <c r="F38" i="23"/>
  <c r="F37" i="23"/>
  <c r="F36" i="23"/>
  <c r="F35" i="23"/>
  <c r="O12" i="6"/>
  <c r="P12" i="6" s="1"/>
  <c r="Q12" i="6" s="1"/>
  <c r="N12" i="6"/>
  <c r="M12" i="6"/>
  <c r="J42" i="10" l="1"/>
  <c r="D48" i="10"/>
  <c r="N48" i="10"/>
  <c r="M48" i="10"/>
  <c r="C48" i="10"/>
  <c r="B39" i="23" l="1"/>
  <c r="M16" i="6"/>
  <c r="M13" i="6"/>
  <c r="M22" i="10"/>
  <c r="J31" i="10"/>
  <c r="I31" i="10"/>
  <c r="H31" i="10"/>
  <c r="B43" i="23"/>
  <c r="B44" i="23"/>
  <c r="J4" i="14" l="1"/>
  <c r="A1" i="23" l="1"/>
  <c r="B45" i="23"/>
  <c r="B42" i="23"/>
  <c r="B41" i="23"/>
  <c r="B40" i="23"/>
  <c r="B38" i="23"/>
  <c r="B37" i="23"/>
  <c r="B36" i="23"/>
  <c r="B35" i="23"/>
  <c r="A33" i="23"/>
  <c r="A26" i="23"/>
  <c r="F27" i="23"/>
  <c r="E27" i="23"/>
  <c r="D27" i="23"/>
  <c r="C27" i="23"/>
  <c r="B27" i="23"/>
  <c r="B22" i="23"/>
  <c r="F21" i="23"/>
  <c r="E21" i="23"/>
  <c r="D21" i="23"/>
  <c r="C21" i="23"/>
  <c r="B21" i="23"/>
  <c r="A20" i="23"/>
  <c r="E15" i="23"/>
  <c r="A13" i="23"/>
  <c r="A6" i="23"/>
  <c r="E8" i="23"/>
  <c r="D8" i="23"/>
  <c r="C8" i="23"/>
  <c r="B8" i="23"/>
  <c r="F8" i="23" l="1"/>
  <c r="X153" i="13"/>
  <c r="W153" i="13"/>
  <c r="V153" i="13"/>
  <c r="U153" i="13"/>
  <c r="T153" i="13"/>
  <c r="S153" i="13"/>
  <c r="Q153" i="13"/>
  <c r="P153" i="13"/>
  <c r="O153" i="13"/>
  <c r="N153" i="13"/>
  <c r="M153" i="13"/>
  <c r="Y153" i="18"/>
  <c r="Z153" i="18" s="1"/>
  <c r="Y153" i="17"/>
  <c r="Z153" i="17" s="1"/>
  <c r="AA148" i="13"/>
  <c r="X153" i="22"/>
  <c r="W153" i="22"/>
  <c r="V153" i="22"/>
  <c r="U153" i="22"/>
  <c r="T153" i="22"/>
  <c r="S153" i="22"/>
  <c r="Q153" i="22"/>
  <c r="P153" i="22"/>
  <c r="O153" i="22"/>
  <c r="N153" i="22"/>
  <c r="M153" i="22"/>
  <c r="X154" i="22"/>
  <c r="W154" i="22"/>
  <c r="V154" i="22"/>
  <c r="U154" i="22"/>
  <c r="T154" i="22"/>
  <c r="S154" i="22"/>
  <c r="R154" i="22"/>
  <c r="Q154" i="22"/>
  <c r="P154" i="22"/>
  <c r="O154" i="22"/>
  <c r="N154" i="22"/>
  <c r="M154" i="22"/>
  <c r="L154" i="22"/>
  <c r="K154" i="22"/>
  <c r="J154" i="22"/>
  <c r="I154" i="22"/>
  <c r="H154" i="22"/>
  <c r="X152" i="22"/>
  <c r="W152" i="22"/>
  <c r="V152" i="22"/>
  <c r="U152" i="22"/>
  <c r="T152" i="22"/>
  <c r="S152" i="22"/>
  <c r="R152" i="22"/>
  <c r="Q152" i="22"/>
  <c r="P152" i="22"/>
  <c r="O152" i="22"/>
  <c r="N152" i="22"/>
  <c r="M152" i="22"/>
  <c r="Y152" i="22" s="1"/>
  <c r="Z152" i="22" s="1"/>
  <c r="L152" i="22"/>
  <c r="K152" i="22"/>
  <c r="J152" i="22"/>
  <c r="I152" i="22"/>
  <c r="H152" i="22"/>
  <c r="L151" i="22"/>
  <c r="K151" i="22"/>
  <c r="J151" i="22"/>
  <c r="I151" i="22"/>
  <c r="H151" i="22"/>
  <c r="X150" i="22"/>
  <c r="X151" i="22" s="1"/>
  <c r="W150" i="22"/>
  <c r="W151" i="22" s="1"/>
  <c r="V150" i="22"/>
  <c r="V151" i="22" s="1"/>
  <c r="U150" i="22"/>
  <c r="U151" i="22" s="1"/>
  <c r="T150" i="22"/>
  <c r="T151" i="22" s="1"/>
  <c r="S150" i="22"/>
  <c r="S151" i="22" s="1"/>
  <c r="R150" i="22"/>
  <c r="R151" i="22" s="1"/>
  <c r="Q150" i="22"/>
  <c r="Q151" i="22" s="1"/>
  <c r="P150" i="22"/>
  <c r="P151" i="22" s="1"/>
  <c r="O150" i="22"/>
  <c r="O151" i="22" s="1"/>
  <c r="N150" i="22"/>
  <c r="N151" i="22" s="1"/>
  <c r="M150" i="22"/>
  <c r="M151" i="22" s="1"/>
  <c r="Y149" i="22"/>
  <c r="I147" i="22"/>
  <c r="M146" i="22"/>
  <c r="Y146" i="22" s="1"/>
  <c r="Z146" i="22" s="1"/>
  <c r="Y145" i="22"/>
  <c r="Z145" i="22" s="1"/>
  <c r="Y144" i="22"/>
  <c r="Z144" i="22" s="1"/>
  <c r="X143" i="22"/>
  <c r="X147" i="22" s="1"/>
  <c r="T143" i="22"/>
  <c r="T147" i="22" s="1"/>
  <c r="P143" i="22"/>
  <c r="P147" i="22" s="1"/>
  <c r="L147" i="22"/>
  <c r="K147" i="22"/>
  <c r="J147" i="22"/>
  <c r="H147" i="22"/>
  <c r="Y142" i="22"/>
  <c r="Z142" i="22" s="1"/>
  <c r="X139" i="22"/>
  <c r="W139" i="22"/>
  <c r="V139" i="22"/>
  <c r="U139" i="22"/>
  <c r="T139" i="22"/>
  <c r="S139" i="22"/>
  <c r="R139" i="22"/>
  <c r="Q139" i="22"/>
  <c r="P139" i="22"/>
  <c r="O139" i="22"/>
  <c r="N139" i="22"/>
  <c r="M139" i="22"/>
  <c r="L139" i="22"/>
  <c r="K139" i="22"/>
  <c r="J139" i="22"/>
  <c r="I139" i="22"/>
  <c r="H139" i="22"/>
  <c r="Y138" i="22"/>
  <c r="Z138" i="22" s="1"/>
  <c r="Y137" i="22"/>
  <c r="Z137" i="22" s="1"/>
  <c r="Y136" i="22"/>
  <c r="Z136" i="22" s="1"/>
  <c r="Y135" i="22"/>
  <c r="Z135" i="22" s="1"/>
  <c r="Y134" i="22"/>
  <c r="Z134" i="22" s="1"/>
  <c r="Y133" i="22"/>
  <c r="Z133" i="22" s="1"/>
  <c r="Y132" i="22"/>
  <c r="Z132" i="22" s="1"/>
  <c r="Y131" i="22"/>
  <c r="Z131" i="22" s="1"/>
  <c r="Y130" i="22"/>
  <c r="Z130" i="22" s="1"/>
  <c r="Y129" i="22"/>
  <c r="Z129" i="22" s="1"/>
  <c r="Y128" i="22"/>
  <c r="Z128" i="22" s="1"/>
  <c r="Y127" i="22"/>
  <c r="Z127" i="22" s="1"/>
  <c r="Y126" i="22"/>
  <c r="Z126" i="22" s="1"/>
  <c r="Y125" i="22"/>
  <c r="Z125" i="22" s="1"/>
  <c r="Y124" i="22"/>
  <c r="Z124" i="22" s="1"/>
  <c r="Y123" i="22"/>
  <c r="Z123" i="22" s="1"/>
  <c r="Y122" i="22"/>
  <c r="Z122" i="22" s="1"/>
  <c r="Y121" i="22"/>
  <c r="Z121" i="22" s="1"/>
  <c r="Y120" i="22"/>
  <c r="Z120" i="22" s="1"/>
  <c r="Y119" i="22"/>
  <c r="Z119" i="22" s="1"/>
  <c r="Y118" i="22"/>
  <c r="Z118" i="22" s="1"/>
  <c r="X116" i="22"/>
  <c r="W116" i="22"/>
  <c r="V116" i="22"/>
  <c r="U116" i="22"/>
  <c r="T116" i="22"/>
  <c r="S116" i="22"/>
  <c r="R116" i="22"/>
  <c r="Q116" i="22"/>
  <c r="P116" i="22"/>
  <c r="O116" i="22"/>
  <c r="N116" i="22"/>
  <c r="M116" i="22"/>
  <c r="L116" i="22"/>
  <c r="K116" i="22"/>
  <c r="J116" i="22"/>
  <c r="I116" i="22"/>
  <c r="H116" i="22"/>
  <c r="Y115" i="22"/>
  <c r="Z115" i="22" s="1"/>
  <c r="Y114" i="22"/>
  <c r="Z114" i="22" s="1"/>
  <c r="Z113" i="22"/>
  <c r="Y113" i="22"/>
  <c r="Y112" i="22"/>
  <c r="Z112" i="22" s="1"/>
  <c r="Y111" i="22"/>
  <c r="Z111" i="22" s="1"/>
  <c r="Y110" i="22"/>
  <c r="Z110" i="22" s="1"/>
  <c r="Z109" i="22"/>
  <c r="Y109" i="22"/>
  <c r="Y108" i="22"/>
  <c r="Z108" i="22" s="1"/>
  <c r="Y107" i="22"/>
  <c r="Z107" i="22" s="1"/>
  <c r="Y106" i="22"/>
  <c r="Z106" i="22" s="1"/>
  <c r="Z105" i="22"/>
  <c r="Y105" i="22"/>
  <c r="Y104" i="22"/>
  <c r="Z104" i="22" s="1"/>
  <c r="Y103" i="22"/>
  <c r="Z103" i="22" s="1"/>
  <c r="Y102" i="22"/>
  <c r="Z102" i="22" s="1"/>
  <c r="Z101" i="22"/>
  <c r="Y101" i="22"/>
  <c r="Y100" i="22"/>
  <c r="Z100" i="22" s="1"/>
  <c r="Y99" i="22"/>
  <c r="Z99" i="22" s="1"/>
  <c r="Y98" i="22"/>
  <c r="Z98" i="22" s="1"/>
  <c r="Z97" i="22"/>
  <c r="Y97" i="22"/>
  <c r="Y96" i="22"/>
  <c r="Z96" i="22" s="1"/>
  <c r="Y95" i="22"/>
  <c r="Z95" i="22" s="1"/>
  <c r="Y94" i="22"/>
  <c r="Z94" i="22" s="1"/>
  <c r="Z93" i="22"/>
  <c r="Y93" i="22"/>
  <c r="Y92" i="22"/>
  <c r="Z92" i="22" s="1"/>
  <c r="Y91" i="22"/>
  <c r="Z91" i="22" s="1"/>
  <c r="Y90" i="22"/>
  <c r="Z90" i="22" s="1"/>
  <c r="Z89" i="22"/>
  <c r="Y89" i="22"/>
  <c r="Y88" i="22"/>
  <c r="Z88" i="22" s="1"/>
  <c r="Y87" i="22"/>
  <c r="Z87" i="22" s="1"/>
  <c r="Y86" i="22"/>
  <c r="Z86" i="22" s="1"/>
  <c r="Z85" i="22"/>
  <c r="Y85" i="22"/>
  <c r="Y82" i="22"/>
  <c r="X82" i="22"/>
  <c r="W82" i="22"/>
  <c r="V82" i="22"/>
  <c r="U82" i="22"/>
  <c r="T82" i="22"/>
  <c r="S82" i="22"/>
  <c r="R82" i="22"/>
  <c r="R83" i="22" s="1"/>
  <c r="Q82" i="22"/>
  <c r="P82" i="22"/>
  <c r="O82" i="22"/>
  <c r="N82" i="22"/>
  <c r="M82" i="22"/>
  <c r="L82" i="22"/>
  <c r="K82" i="22"/>
  <c r="J82" i="22"/>
  <c r="I82" i="22"/>
  <c r="H82" i="22"/>
  <c r="Z81" i="22"/>
  <c r="Z80" i="22"/>
  <c r="Z79" i="22"/>
  <c r="Z78" i="22"/>
  <c r="Z77" i="22"/>
  <c r="Z76" i="22"/>
  <c r="X74" i="22"/>
  <c r="W74" i="22"/>
  <c r="W83" i="22" s="1"/>
  <c r="V74" i="22"/>
  <c r="U74" i="22"/>
  <c r="U83" i="22" s="1"/>
  <c r="T74" i="22"/>
  <c r="S74" i="22"/>
  <c r="S83" i="22" s="1"/>
  <c r="R74" i="22"/>
  <c r="Q74" i="22"/>
  <c r="Q83" i="22" s="1"/>
  <c r="P74" i="22"/>
  <c r="O74" i="22"/>
  <c r="O83" i="22" s="1"/>
  <c r="N74" i="22"/>
  <c r="M74" i="22"/>
  <c r="M83" i="22" s="1"/>
  <c r="L74" i="22"/>
  <c r="K74" i="22"/>
  <c r="K83" i="22" s="1"/>
  <c r="J74" i="22"/>
  <c r="I74" i="22"/>
  <c r="I83" i="22" s="1"/>
  <c r="H74" i="22"/>
  <c r="Y73" i="22"/>
  <c r="Z73" i="22" s="1"/>
  <c r="Y72" i="22"/>
  <c r="Z72" i="22" s="1"/>
  <c r="Y71" i="22"/>
  <c r="Z71" i="22" s="1"/>
  <c r="Y70" i="22"/>
  <c r="Z70" i="22" s="1"/>
  <c r="Y69" i="22"/>
  <c r="Z69" i="22" s="1"/>
  <c r="Y68" i="22"/>
  <c r="Z68" i="22" s="1"/>
  <c r="Y67" i="22"/>
  <c r="Z67" i="22" s="1"/>
  <c r="Y66" i="22"/>
  <c r="Z66" i="22" s="1"/>
  <c r="Y65" i="22"/>
  <c r="Z65" i="22" s="1"/>
  <c r="Y64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Y60" i="22"/>
  <c r="Z60" i="22" s="1"/>
  <c r="Y59" i="22"/>
  <c r="Z59" i="22" s="1"/>
  <c r="Z58" i="22"/>
  <c r="Y58" i="22"/>
  <c r="Y57" i="22"/>
  <c r="Z57" i="22" s="1"/>
  <c r="Y56" i="22"/>
  <c r="Z56" i="22" s="1"/>
  <c r="Y55" i="22"/>
  <c r="Z55" i="22" s="1"/>
  <c r="Z54" i="22"/>
  <c r="Y54" i="22"/>
  <c r="Y53" i="22"/>
  <c r="Z53" i="22" s="1"/>
  <c r="Y52" i="22"/>
  <c r="Z52" i="22" s="1"/>
  <c r="Y51" i="22"/>
  <c r="Z51" i="22" s="1"/>
  <c r="Z50" i="22"/>
  <c r="Y50" i="22"/>
  <c r="Y49" i="22"/>
  <c r="Z49" i="22" s="1"/>
  <c r="Y48" i="22"/>
  <c r="Z48" i="22" s="1"/>
  <c r="Y47" i="22"/>
  <c r="Z47" i="22" s="1"/>
  <c r="Z46" i="22"/>
  <c r="Y46" i="22"/>
  <c r="Y45" i="22"/>
  <c r="Z45" i="22" s="1"/>
  <c r="Y44" i="22"/>
  <c r="Z44" i="22" s="1"/>
  <c r="Y43" i="22"/>
  <c r="Z43" i="22" s="1"/>
  <c r="Z42" i="22"/>
  <c r="Y42" i="22"/>
  <c r="Y41" i="22"/>
  <c r="Z41" i="22" s="1"/>
  <c r="Y40" i="22"/>
  <c r="Z40" i="22" s="1"/>
  <c r="Y39" i="22"/>
  <c r="L37" i="22"/>
  <c r="Y34" i="22"/>
  <c r="Z34" i="22" s="1"/>
  <c r="X37" i="22"/>
  <c r="T37" i="22"/>
  <c r="P37" i="22"/>
  <c r="H37" i="22"/>
  <c r="U37" i="22"/>
  <c r="U140" i="22" s="1"/>
  <c r="Q37" i="22"/>
  <c r="M37" i="22"/>
  <c r="M140" i="22" s="1"/>
  <c r="I37" i="22"/>
  <c r="L26" i="22"/>
  <c r="W25" i="22"/>
  <c r="W26" i="22" s="1"/>
  <c r="S25" i="22"/>
  <c r="S26" i="22" s="1"/>
  <c r="O25" i="22"/>
  <c r="O26" i="22" s="1"/>
  <c r="K25" i="22"/>
  <c r="K26" i="22" s="1"/>
  <c r="Y24" i="22"/>
  <c r="Z24" i="22" s="1"/>
  <c r="Z23" i="22"/>
  <c r="Y23" i="22"/>
  <c r="Y22" i="22"/>
  <c r="Z22" i="22" s="1"/>
  <c r="Y21" i="22"/>
  <c r="Z21" i="22" s="1"/>
  <c r="Y20" i="22"/>
  <c r="Z20" i="22" s="1"/>
  <c r="X25" i="22"/>
  <c r="X26" i="22" s="1"/>
  <c r="W143" i="22"/>
  <c r="W147" i="22" s="1"/>
  <c r="U25" i="22"/>
  <c r="U26" i="22" s="1"/>
  <c r="T25" i="22"/>
  <c r="T26" i="22" s="1"/>
  <c r="R25" i="22"/>
  <c r="R26" i="22" s="1"/>
  <c r="Q25" i="22"/>
  <c r="Q26" i="22" s="1"/>
  <c r="P25" i="22"/>
  <c r="P26" i="22" s="1"/>
  <c r="N25" i="22"/>
  <c r="N26" i="22" s="1"/>
  <c r="M25" i="22"/>
  <c r="M26" i="22" s="1"/>
  <c r="L25" i="22"/>
  <c r="J25" i="22"/>
  <c r="J26" i="22" s="1"/>
  <c r="I25" i="22"/>
  <c r="I26" i="22" s="1"/>
  <c r="H25" i="22"/>
  <c r="H26" i="22" s="1"/>
  <c r="Y18" i="22"/>
  <c r="Z18" i="22" s="1"/>
  <c r="Z17" i="22"/>
  <c r="Y17" i="22"/>
  <c r="Y16" i="22"/>
  <c r="Z16" i="22" s="1"/>
  <c r="Z15" i="22"/>
  <c r="Y15" i="22"/>
  <c r="Y14" i="22"/>
  <c r="Z14" i="22" s="1"/>
  <c r="Z13" i="22"/>
  <c r="Y13" i="22"/>
  <c r="Y12" i="22"/>
  <c r="Z12" i="22" s="1"/>
  <c r="Z11" i="22"/>
  <c r="Y11" i="22"/>
  <c r="Y10" i="22"/>
  <c r="Z10" i="22" s="1"/>
  <c r="Z9" i="22"/>
  <c r="Y9" i="22"/>
  <c r="Y8" i="22"/>
  <c r="Z8" i="22" s="1"/>
  <c r="Z7" i="22"/>
  <c r="Y7" i="22"/>
  <c r="Z6" i="22"/>
  <c r="Y6" i="22"/>
  <c r="Y4" i="22"/>
  <c r="L4" i="22"/>
  <c r="K4" i="22"/>
  <c r="J4" i="22"/>
  <c r="I4" i="22"/>
  <c r="H4" i="22"/>
  <c r="M2" i="22"/>
  <c r="C56" i="21"/>
  <c r="D56" i="21" s="1"/>
  <c r="E56" i="21" s="1"/>
  <c r="F56" i="21" s="1"/>
  <c r="B62" i="21"/>
  <c r="B59" i="21"/>
  <c r="C59" i="21" s="1"/>
  <c r="D59" i="21" s="1"/>
  <c r="E59" i="21" s="1"/>
  <c r="F59" i="21" s="1"/>
  <c r="F58" i="21"/>
  <c r="E58" i="21"/>
  <c r="D58" i="21"/>
  <c r="C58" i="21"/>
  <c r="B58" i="21"/>
  <c r="F57" i="21"/>
  <c r="E57" i="21"/>
  <c r="D57" i="21"/>
  <c r="C57" i="21"/>
  <c r="B57" i="21"/>
  <c r="B56" i="21"/>
  <c r="F54" i="21"/>
  <c r="E54" i="21"/>
  <c r="D54" i="21"/>
  <c r="C54" i="21"/>
  <c r="B54" i="21"/>
  <c r="B50" i="21"/>
  <c r="B37" i="21"/>
  <c r="B24" i="21"/>
  <c r="B47" i="21"/>
  <c r="C47" i="21" s="1"/>
  <c r="D47" i="21" s="1"/>
  <c r="E47" i="21" s="1"/>
  <c r="F47" i="21" s="1"/>
  <c r="B44" i="21"/>
  <c r="C44" i="21" s="1"/>
  <c r="D44" i="21" s="1"/>
  <c r="B31" i="21"/>
  <c r="C31" i="21" s="1"/>
  <c r="D31" i="21" s="1"/>
  <c r="E31" i="21" s="1"/>
  <c r="B18" i="21"/>
  <c r="C18" i="21" s="1"/>
  <c r="B9" i="21"/>
  <c r="B60" i="21" s="1"/>
  <c r="C60" i="21" s="1"/>
  <c r="D60" i="21" s="1"/>
  <c r="E60" i="21" s="1"/>
  <c r="F60" i="21" s="1"/>
  <c r="B8" i="21"/>
  <c r="C8" i="21" s="1"/>
  <c r="D8" i="21" s="1"/>
  <c r="E8" i="21" s="1"/>
  <c r="F8" i="21" s="1"/>
  <c r="B20" i="21"/>
  <c r="D5" i="21"/>
  <c r="E5" i="21" s="1"/>
  <c r="F5" i="21" s="1"/>
  <c r="C5" i="21"/>
  <c r="F46" i="21"/>
  <c r="E46" i="21"/>
  <c r="D46" i="21"/>
  <c r="C46" i="21"/>
  <c r="B46" i="21"/>
  <c r="F33" i="21"/>
  <c r="E33" i="21"/>
  <c r="D33" i="21"/>
  <c r="C33" i="21"/>
  <c r="B33" i="21"/>
  <c r="F7" i="21"/>
  <c r="E7" i="21"/>
  <c r="C7" i="21"/>
  <c r="B7" i="21"/>
  <c r="F20" i="21"/>
  <c r="E20" i="21"/>
  <c r="C20" i="21"/>
  <c r="D20" i="21"/>
  <c r="L119" i="19"/>
  <c r="K119" i="19"/>
  <c r="J119" i="19"/>
  <c r="I119" i="19"/>
  <c r="F42" i="21"/>
  <c r="E42" i="21"/>
  <c r="D42" i="21"/>
  <c r="C42" i="21"/>
  <c r="B42" i="21"/>
  <c r="F29" i="21"/>
  <c r="E29" i="21"/>
  <c r="D29" i="21"/>
  <c r="C29" i="21"/>
  <c r="B29" i="21"/>
  <c r="F16" i="21"/>
  <c r="E16" i="21"/>
  <c r="D16" i="21"/>
  <c r="C16" i="21"/>
  <c r="B16" i="21"/>
  <c r="F3" i="21"/>
  <c r="E3" i="21"/>
  <c r="D3" i="21"/>
  <c r="C3" i="21"/>
  <c r="B3" i="21"/>
  <c r="J4" i="13"/>
  <c r="K4" i="13" s="1"/>
  <c r="L4" i="13" s="1"/>
  <c r="I4" i="13"/>
  <c r="L140" i="22" l="1"/>
  <c r="I140" i="22"/>
  <c r="J83" i="22"/>
  <c r="N83" i="22"/>
  <c r="V83" i="22"/>
  <c r="Y116" i="22"/>
  <c r="Z116" i="22" s="1"/>
  <c r="Q140" i="22"/>
  <c r="T140" i="22"/>
  <c r="Y61" i="22"/>
  <c r="Z61" i="22" s="1"/>
  <c r="H83" i="22"/>
  <c r="H140" i="22" s="1"/>
  <c r="L83" i="22"/>
  <c r="P83" i="22"/>
  <c r="Y83" i="22" s="1"/>
  <c r="Z83" i="22" s="1"/>
  <c r="T83" i="22"/>
  <c r="X83" i="22"/>
  <c r="X140" i="22" s="1"/>
  <c r="X155" i="22" s="1"/>
  <c r="X156" i="22" s="1"/>
  <c r="X157" i="22" s="1"/>
  <c r="Z82" i="22"/>
  <c r="Z39" i="22"/>
  <c r="Y154" i="22"/>
  <c r="Z154" i="22" s="1"/>
  <c r="Y74" i="22"/>
  <c r="Z74" i="22" s="1"/>
  <c r="Y32" i="22"/>
  <c r="Z32" i="22" s="1"/>
  <c r="Y33" i="22"/>
  <c r="Z33" i="22" s="1"/>
  <c r="T155" i="22"/>
  <c r="T156" i="22" s="1"/>
  <c r="T157" i="22" s="1"/>
  <c r="Y30" i="22"/>
  <c r="Y35" i="22"/>
  <c r="Z35" i="22" s="1"/>
  <c r="R37" i="22"/>
  <c r="R140" i="22" s="1"/>
  <c r="Y150" i="22"/>
  <c r="Z150" i="22" s="1"/>
  <c r="Y19" i="22"/>
  <c r="Z19" i="22" s="1"/>
  <c r="J37" i="22"/>
  <c r="N37" i="22"/>
  <c r="N140" i="22" s="1"/>
  <c r="V37" i="22"/>
  <c r="K37" i="22"/>
  <c r="K140" i="22" s="1"/>
  <c r="O37" i="22"/>
  <c r="O140" i="22" s="1"/>
  <c r="S37" i="22"/>
  <c r="S140" i="22" s="1"/>
  <c r="W37" i="22"/>
  <c r="W140" i="22" s="1"/>
  <c r="W155" i="22" s="1"/>
  <c r="W156" i="22" s="1"/>
  <c r="W157" i="22" s="1"/>
  <c r="Y31" i="22"/>
  <c r="Z31" i="22" s="1"/>
  <c r="Y36" i="22"/>
  <c r="Z36" i="22" s="1"/>
  <c r="Y139" i="22"/>
  <c r="Z139" i="22" s="1"/>
  <c r="M143" i="22"/>
  <c r="Q143" i="22"/>
  <c r="Q147" i="22" s="1"/>
  <c r="Q155" i="22" s="1"/>
  <c r="Q156" i="22" s="1"/>
  <c r="Q157" i="22" s="1"/>
  <c r="U143" i="22"/>
  <c r="U147" i="22" s="1"/>
  <c r="U155" i="22" s="1"/>
  <c r="U156" i="22" s="1"/>
  <c r="U157" i="22" s="1"/>
  <c r="N143" i="22"/>
  <c r="N147" i="22" s="1"/>
  <c r="R143" i="22"/>
  <c r="R147" i="22" s="1"/>
  <c r="V143" i="22"/>
  <c r="V147" i="22" s="1"/>
  <c r="V25" i="22"/>
  <c r="V26" i="22" s="1"/>
  <c r="Z64" i="22"/>
  <c r="O143" i="22"/>
  <c r="O147" i="22" s="1"/>
  <c r="S143" i="22"/>
  <c r="S147" i="22" s="1"/>
  <c r="Z149" i="22"/>
  <c r="B11" i="21"/>
  <c r="B21" i="21"/>
  <c r="C21" i="21" s="1"/>
  <c r="D21" i="21" s="1"/>
  <c r="E21" i="21" s="1"/>
  <c r="F21" i="21" s="1"/>
  <c r="B34" i="21"/>
  <c r="C34" i="21" s="1"/>
  <c r="D34" i="21" s="1"/>
  <c r="E34" i="21" s="1"/>
  <c r="F34" i="21" s="1"/>
  <c r="B48" i="21"/>
  <c r="C48" i="21" s="1"/>
  <c r="D48" i="21" s="1"/>
  <c r="E48" i="21" s="1"/>
  <c r="F48" i="21" s="1"/>
  <c r="B22" i="21"/>
  <c r="C22" i="21" s="1"/>
  <c r="D22" i="21" s="1"/>
  <c r="E22" i="21" s="1"/>
  <c r="F22" i="21" s="1"/>
  <c r="B35" i="21"/>
  <c r="C35" i="21" s="1"/>
  <c r="D35" i="21" s="1"/>
  <c r="E35" i="21" s="1"/>
  <c r="F35" i="21" s="1"/>
  <c r="E44" i="21"/>
  <c r="F31" i="21"/>
  <c r="D18" i="21"/>
  <c r="C9" i="21"/>
  <c r="P140" i="22" l="1"/>
  <c r="P155" i="22" s="1"/>
  <c r="P156" i="22" s="1"/>
  <c r="P157" i="22" s="1"/>
  <c r="V140" i="22"/>
  <c r="J140" i="22"/>
  <c r="S155" i="22"/>
  <c r="S156" i="22" s="1"/>
  <c r="S157" i="22" s="1"/>
  <c r="V155" i="22"/>
  <c r="V156" i="22" s="1"/>
  <c r="V157" i="22" s="1"/>
  <c r="Y143" i="22"/>
  <c r="M147" i="22"/>
  <c r="M155" i="22" s="1"/>
  <c r="M156" i="22" s="1"/>
  <c r="M157" i="22" s="1"/>
  <c r="Y25" i="22"/>
  <c r="Z25" i="22" s="1"/>
  <c r="O155" i="22"/>
  <c r="O156" i="22" s="1"/>
  <c r="O157" i="22" s="1"/>
  <c r="N155" i="22"/>
  <c r="N156" i="22" s="1"/>
  <c r="N157" i="22" s="1"/>
  <c r="Y37" i="22"/>
  <c r="Z37" i="22" s="1"/>
  <c r="Z30" i="22"/>
  <c r="Y26" i="22"/>
  <c r="Y151" i="22"/>
  <c r="Z151" i="22" s="1"/>
  <c r="F44" i="21"/>
  <c r="E18" i="21"/>
  <c r="D9" i="21"/>
  <c r="Y4" i="19"/>
  <c r="Y4" i="18"/>
  <c r="Y4" i="17"/>
  <c r="Y4" i="13"/>
  <c r="M2" i="19"/>
  <c r="M2" i="18"/>
  <c r="M2" i="17"/>
  <c r="M2" i="13"/>
  <c r="Y140" i="22" l="1"/>
  <c r="Z140" i="22" s="1"/>
  <c r="Z26" i="22"/>
  <c r="Z143" i="22"/>
  <c r="Y147" i="22"/>
  <c r="F18" i="21"/>
  <c r="E9" i="21"/>
  <c r="Q2" i="5"/>
  <c r="P2" i="5"/>
  <c r="O2" i="5"/>
  <c r="N2" i="5"/>
  <c r="M2" i="5"/>
  <c r="Q2" i="6"/>
  <c r="P2" i="6"/>
  <c r="O2" i="6"/>
  <c r="N2" i="6"/>
  <c r="M2" i="6"/>
  <c r="Q2" i="10"/>
  <c r="P2" i="10"/>
  <c r="O2" i="10"/>
  <c r="N2" i="10"/>
  <c r="M2" i="10"/>
  <c r="Q2" i="8"/>
  <c r="P2" i="8"/>
  <c r="O2" i="8"/>
  <c r="N2" i="8"/>
  <c r="M2" i="8"/>
  <c r="Q2" i="9"/>
  <c r="P2" i="9"/>
  <c r="O2" i="9"/>
  <c r="N2" i="9"/>
  <c r="M2" i="9"/>
  <c r="Q2" i="3"/>
  <c r="P2" i="3"/>
  <c r="O2" i="3"/>
  <c r="N2" i="3"/>
  <c r="M2" i="3"/>
  <c r="Q2" i="4"/>
  <c r="P2" i="4"/>
  <c r="O2" i="4"/>
  <c r="N2" i="4"/>
  <c r="M2" i="4"/>
  <c r="Q2" i="1"/>
  <c r="P2" i="1"/>
  <c r="O2" i="1"/>
  <c r="N2" i="1"/>
  <c r="M2" i="1"/>
  <c r="Q2" i="14"/>
  <c r="P2" i="14"/>
  <c r="O2" i="14"/>
  <c r="N2" i="14"/>
  <c r="M2" i="14"/>
  <c r="N3" i="20"/>
  <c r="M3" i="20"/>
  <c r="L3" i="20"/>
  <c r="K3" i="20"/>
  <c r="J3" i="20"/>
  <c r="L4" i="19"/>
  <c r="K4" i="19"/>
  <c r="J4" i="19"/>
  <c r="I4" i="19"/>
  <c r="H4" i="19"/>
  <c r="L4" i="17"/>
  <c r="K4" i="17"/>
  <c r="J4" i="17"/>
  <c r="I4" i="17"/>
  <c r="H4" i="17"/>
  <c r="L4" i="18"/>
  <c r="K4" i="18"/>
  <c r="J4" i="18"/>
  <c r="I4" i="18"/>
  <c r="H4" i="18"/>
  <c r="H119" i="13"/>
  <c r="H119" i="19"/>
  <c r="X119" i="19"/>
  <c r="X119" i="13" s="1"/>
  <c r="W119" i="19"/>
  <c r="W119" i="13" s="1"/>
  <c r="V119" i="19"/>
  <c r="V119" i="13" s="1"/>
  <c r="U119" i="19"/>
  <c r="U119" i="13" s="1"/>
  <c r="T119" i="19"/>
  <c r="T119" i="13" s="1"/>
  <c r="S119" i="19"/>
  <c r="S119" i="13" s="1"/>
  <c r="R119" i="19"/>
  <c r="R119" i="13" s="1"/>
  <c r="Q119" i="19"/>
  <c r="Q119" i="13" s="1"/>
  <c r="P119" i="19"/>
  <c r="P119" i="13" s="1"/>
  <c r="O119" i="19"/>
  <c r="O119" i="13" s="1"/>
  <c r="N119" i="19"/>
  <c r="N119" i="13" s="1"/>
  <c r="M119" i="19"/>
  <c r="M119" i="13" s="1"/>
  <c r="L12" i="20" l="1"/>
  <c r="L8" i="20"/>
  <c r="M12" i="20"/>
  <c r="M8" i="20"/>
  <c r="J12" i="20"/>
  <c r="J8" i="20"/>
  <c r="N12" i="20"/>
  <c r="N8" i="20"/>
  <c r="K12" i="20"/>
  <c r="K8" i="20"/>
  <c r="Z147" i="22"/>
  <c r="F9" i="21"/>
  <c r="L10" i="3"/>
  <c r="M33" i="6" l="1"/>
  <c r="P21" i="6"/>
  <c r="N21" i="6"/>
  <c r="Q21" i="6"/>
  <c r="O21" i="6"/>
  <c r="M21" i="6"/>
  <c r="Q19" i="6"/>
  <c r="P19" i="6"/>
  <c r="O19" i="6"/>
  <c r="N19" i="6"/>
  <c r="M19" i="6"/>
  <c r="M5" i="6"/>
  <c r="M15" i="6"/>
  <c r="M14" i="6"/>
  <c r="I21" i="20" l="1"/>
  <c r="I23" i="20" s="1"/>
  <c r="I24" i="20" s="1"/>
  <c r="I25" i="20" s="1"/>
  <c r="M17" i="14" l="1"/>
  <c r="M20" i="14" s="1"/>
  <c r="B18" i="16"/>
  <c r="B17" i="16"/>
  <c r="M6" i="14" s="1"/>
  <c r="B16" i="16"/>
  <c r="M4" i="14" s="1"/>
  <c r="M10" i="3" s="1"/>
  <c r="H153" i="22" l="1"/>
  <c r="H155" i="22" s="1"/>
  <c r="H23" i="3"/>
  <c r="N20" i="20"/>
  <c r="N19" i="20"/>
  <c r="N18" i="20"/>
  <c r="N17" i="20"/>
  <c r="N16" i="20"/>
  <c r="N15" i="20"/>
  <c r="N14" i="20"/>
  <c r="N13" i="20"/>
  <c r="N11" i="20"/>
  <c r="N10" i="20"/>
  <c r="N9" i="20"/>
  <c r="N7" i="20"/>
  <c r="N6" i="20"/>
  <c r="N5" i="20"/>
  <c r="N4" i="20"/>
  <c r="M20" i="20"/>
  <c r="L20" i="20"/>
  <c r="K20" i="20"/>
  <c r="J20" i="20"/>
  <c r="M19" i="20"/>
  <c r="L19" i="20"/>
  <c r="K19" i="20"/>
  <c r="J19" i="20"/>
  <c r="M18" i="20"/>
  <c r="L18" i="20"/>
  <c r="K18" i="20"/>
  <c r="J18" i="20"/>
  <c r="M17" i="20"/>
  <c r="L17" i="20"/>
  <c r="K17" i="20"/>
  <c r="J17" i="20"/>
  <c r="M16" i="20"/>
  <c r="L16" i="20"/>
  <c r="K16" i="20"/>
  <c r="J16" i="20"/>
  <c r="M15" i="20"/>
  <c r="L15" i="20"/>
  <c r="K15" i="20"/>
  <c r="J15" i="20"/>
  <c r="M14" i="20"/>
  <c r="L14" i="20"/>
  <c r="K14" i="20"/>
  <c r="J14" i="20"/>
  <c r="M13" i="20"/>
  <c r="L13" i="20"/>
  <c r="K13" i="20"/>
  <c r="J13" i="20"/>
  <c r="M11" i="20"/>
  <c r="L11" i="20"/>
  <c r="K11" i="20"/>
  <c r="J11" i="20"/>
  <c r="M10" i="20"/>
  <c r="L10" i="20"/>
  <c r="K10" i="20"/>
  <c r="J10" i="20"/>
  <c r="M9" i="20"/>
  <c r="L9" i="20"/>
  <c r="K9" i="20"/>
  <c r="J9" i="20"/>
  <c r="M7" i="20"/>
  <c r="L7" i="20"/>
  <c r="K7" i="20"/>
  <c r="J7" i="20"/>
  <c r="M6" i="20"/>
  <c r="L6" i="20"/>
  <c r="K6" i="20"/>
  <c r="J6" i="20"/>
  <c r="M5" i="20"/>
  <c r="L5" i="20"/>
  <c r="K5" i="20"/>
  <c r="J5" i="20"/>
  <c r="M4" i="20"/>
  <c r="L4" i="20"/>
  <c r="K4" i="20"/>
  <c r="J4" i="20"/>
  <c r="R153" i="22" l="1"/>
  <c r="H156" i="22"/>
  <c r="E16" i="23"/>
  <c r="E17" i="23" s="1"/>
  <c r="H153" i="13"/>
  <c r="N50" i="10"/>
  <c r="M50" i="10"/>
  <c r="L50" i="10"/>
  <c r="K50" i="10"/>
  <c r="J50" i="10"/>
  <c r="I50" i="10"/>
  <c r="H50" i="10"/>
  <c r="G50" i="10"/>
  <c r="F50" i="10"/>
  <c r="E50" i="10"/>
  <c r="D50" i="10"/>
  <c r="C50" i="10"/>
  <c r="N49" i="10"/>
  <c r="M49" i="10"/>
  <c r="W137" i="19" s="1"/>
  <c r="L49" i="10"/>
  <c r="K49" i="10"/>
  <c r="J49" i="10"/>
  <c r="I49" i="10"/>
  <c r="S137" i="19" s="1"/>
  <c r="H49" i="10"/>
  <c r="G49" i="10"/>
  <c r="F49" i="10"/>
  <c r="E49" i="10"/>
  <c r="O137" i="19" s="1"/>
  <c r="D49" i="10"/>
  <c r="C49" i="10"/>
  <c r="W136" i="19"/>
  <c r="V136" i="19"/>
  <c r="T136" i="19"/>
  <c r="S136" i="19"/>
  <c r="O136" i="19"/>
  <c r="N136" i="19"/>
  <c r="M136" i="19"/>
  <c r="N47" i="10"/>
  <c r="M47" i="10"/>
  <c r="L47" i="10"/>
  <c r="K47" i="10"/>
  <c r="J47" i="10"/>
  <c r="I47" i="10"/>
  <c r="H47" i="10"/>
  <c r="G47" i="10"/>
  <c r="F47" i="10"/>
  <c r="E47" i="10"/>
  <c r="D47" i="10"/>
  <c r="C47" i="10"/>
  <c r="N46" i="10"/>
  <c r="M46" i="10"/>
  <c r="W134" i="19" s="1"/>
  <c r="L46" i="10"/>
  <c r="V134" i="19" s="1"/>
  <c r="K46" i="10"/>
  <c r="J46" i="10"/>
  <c r="T134" i="19" s="1"/>
  <c r="I46" i="10"/>
  <c r="S134" i="19" s="1"/>
  <c r="H46" i="10"/>
  <c r="G46" i="10"/>
  <c r="F46" i="10"/>
  <c r="E46" i="10"/>
  <c r="O134" i="19" s="1"/>
  <c r="D46" i="10"/>
  <c r="N134" i="19" s="1"/>
  <c r="C46" i="10"/>
  <c r="N45" i="10"/>
  <c r="M45" i="10"/>
  <c r="W133" i="19" s="1"/>
  <c r="L45" i="10"/>
  <c r="K45" i="10"/>
  <c r="J45" i="10"/>
  <c r="I45" i="10"/>
  <c r="S133" i="19" s="1"/>
  <c r="H45" i="10"/>
  <c r="G45" i="10"/>
  <c r="F45" i="10"/>
  <c r="E45" i="10"/>
  <c r="O133" i="19" s="1"/>
  <c r="D45" i="10"/>
  <c r="C45" i="10"/>
  <c r="N44" i="10"/>
  <c r="M44" i="10"/>
  <c r="W132" i="19" s="1"/>
  <c r="L44" i="10"/>
  <c r="K44" i="10"/>
  <c r="J44" i="10"/>
  <c r="I44" i="10"/>
  <c r="S132" i="19" s="1"/>
  <c r="H44" i="10"/>
  <c r="G44" i="10"/>
  <c r="F44" i="10"/>
  <c r="E44" i="10"/>
  <c r="O132" i="19" s="1"/>
  <c r="D44" i="10"/>
  <c r="C44" i="10"/>
  <c r="X130" i="19"/>
  <c r="V130" i="19"/>
  <c r="U130" i="19"/>
  <c r="R130" i="19"/>
  <c r="Q130" i="19"/>
  <c r="P130" i="19"/>
  <c r="N130" i="19"/>
  <c r="N41" i="10"/>
  <c r="M41" i="10"/>
  <c r="L41" i="10"/>
  <c r="K41" i="10"/>
  <c r="U129" i="19" s="1"/>
  <c r="J41" i="10"/>
  <c r="I41" i="10"/>
  <c r="H41" i="10"/>
  <c r="R129" i="19" s="1"/>
  <c r="G41" i="10"/>
  <c r="F41" i="10"/>
  <c r="E41" i="10"/>
  <c r="D41" i="10"/>
  <c r="C41" i="10"/>
  <c r="M129" i="19" s="1"/>
  <c r="N40" i="10"/>
  <c r="M40" i="10"/>
  <c r="L40" i="10"/>
  <c r="K40" i="10"/>
  <c r="U128" i="19" s="1"/>
  <c r="J40" i="10"/>
  <c r="I40" i="10"/>
  <c r="H40" i="10"/>
  <c r="G40" i="10"/>
  <c r="F40" i="10"/>
  <c r="E40" i="10"/>
  <c r="D40" i="10"/>
  <c r="N128" i="19" s="1"/>
  <c r="C40" i="10"/>
  <c r="M128" i="19" s="1"/>
  <c r="N39" i="10"/>
  <c r="M39" i="10"/>
  <c r="L39" i="10"/>
  <c r="K39" i="10"/>
  <c r="J39" i="10"/>
  <c r="I39" i="10"/>
  <c r="H39" i="10"/>
  <c r="R127" i="19" s="1"/>
  <c r="G39" i="10"/>
  <c r="Q127" i="19" s="1"/>
  <c r="F39" i="10"/>
  <c r="E39" i="10"/>
  <c r="D39" i="10"/>
  <c r="N127" i="19" s="1"/>
  <c r="C39" i="10"/>
  <c r="M127" i="19" s="1"/>
  <c r="N38" i="10"/>
  <c r="M38" i="10"/>
  <c r="L38" i="10"/>
  <c r="V126" i="19" s="1"/>
  <c r="K38" i="10"/>
  <c r="J38" i="10"/>
  <c r="I38" i="10"/>
  <c r="H38" i="10"/>
  <c r="G38" i="10"/>
  <c r="Q126" i="19" s="1"/>
  <c r="F38" i="10"/>
  <c r="E38" i="10"/>
  <c r="D38" i="10"/>
  <c r="N126" i="19" s="1"/>
  <c r="C38" i="10"/>
  <c r="N37" i="10"/>
  <c r="M37" i="10"/>
  <c r="L37" i="10"/>
  <c r="V125" i="19" s="1"/>
  <c r="K37" i="10"/>
  <c r="U125" i="19" s="1"/>
  <c r="J37" i="10"/>
  <c r="I37" i="10"/>
  <c r="H37" i="10"/>
  <c r="R125" i="19" s="1"/>
  <c r="G37" i="10"/>
  <c r="Q125" i="19" s="1"/>
  <c r="F37" i="10"/>
  <c r="E37" i="10"/>
  <c r="D37" i="10"/>
  <c r="C37" i="10"/>
  <c r="M125" i="19" s="1"/>
  <c r="N36" i="10"/>
  <c r="M36" i="10"/>
  <c r="L36" i="10"/>
  <c r="V124" i="19" s="1"/>
  <c r="K36" i="10"/>
  <c r="U124" i="19" s="1"/>
  <c r="J36" i="10"/>
  <c r="I36" i="10"/>
  <c r="H36" i="10"/>
  <c r="R124" i="19" s="1"/>
  <c r="G36" i="10"/>
  <c r="Q124" i="19" s="1"/>
  <c r="F36" i="10"/>
  <c r="E36" i="10"/>
  <c r="D36" i="10"/>
  <c r="N124" i="19" s="1"/>
  <c r="C36" i="10"/>
  <c r="M124" i="19" s="1"/>
  <c r="N35" i="10"/>
  <c r="M35" i="10"/>
  <c r="L35" i="10"/>
  <c r="V123" i="19" s="1"/>
  <c r="K35" i="10"/>
  <c r="U123" i="19" s="1"/>
  <c r="J35" i="10"/>
  <c r="I35" i="10"/>
  <c r="H35" i="10"/>
  <c r="G35" i="10"/>
  <c r="Q123" i="19" s="1"/>
  <c r="F35" i="10"/>
  <c r="E35" i="10"/>
  <c r="D35" i="10"/>
  <c r="N123" i="19" s="1"/>
  <c r="C35" i="10"/>
  <c r="M123" i="19" s="1"/>
  <c r="N34" i="10"/>
  <c r="M34" i="10"/>
  <c r="W122" i="19" s="1"/>
  <c r="L34" i="10"/>
  <c r="V122" i="19" s="1"/>
  <c r="K34" i="10"/>
  <c r="U122" i="19" s="1"/>
  <c r="J34" i="10"/>
  <c r="I34" i="10"/>
  <c r="S122" i="19" s="1"/>
  <c r="H34" i="10"/>
  <c r="R122" i="19" s="1"/>
  <c r="G34" i="10"/>
  <c r="Q122" i="19" s="1"/>
  <c r="F34" i="10"/>
  <c r="E34" i="10"/>
  <c r="D34" i="10"/>
  <c r="N122" i="19" s="1"/>
  <c r="C34" i="10"/>
  <c r="N33" i="10"/>
  <c r="M33" i="10"/>
  <c r="L33" i="10"/>
  <c r="V121" i="19" s="1"/>
  <c r="K33" i="10"/>
  <c r="U121" i="19" s="1"/>
  <c r="J33" i="10"/>
  <c r="I33" i="10"/>
  <c r="H33" i="10"/>
  <c r="R121" i="19" s="1"/>
  <c r="G33" i="10"/>
  <c r="Q121" i="19" s="1"/>
  <c r="F33" i="10"/>
  <c r="E33" i="10"/>
  <c r="D33" i="10"/>
  <c r="N121" i="19" s="1"/>
  <c r="C33" i="10"/>
  <c r="M121" i="19" s="1"/>
  <c r="N32" i="10"/>
  <c r="M32" i="10"/>
  <c r="L32" i="10"/>
  <c r="V120" i="19" s="1"/>
  <c r="K32" i="10"/>
  <c r="U120" i="19" s="1"/>
  <c r="J32" i="10"/>
  <c r="I32" i="10"/>
  <c r="H32" i="10"/>
  <c r="R120" i="19" s="1"/>
  <c r="G32" i="10"/>
  <c r="Q120" i="19" s="1"/>
  <c r="F32" i="10"/>
  <c r="E32" i="10"/>
  <c r="D32" i="10"/>
  <c r="N120" i="19" s="1"/>
  <c r="C32" i="10"/>
  <c r="M120" i="19" s="1"/>
  <c r="N30" i="10"/>
  <c r="M30" i="10"/>
  <c r="W118" i="18" s="1"/>
  <c r="L30" i="10"/>
  <c r="K30" i="10"/>
  <c r="J30" i="10"/>
  <c r="I30" i="10"/>
  <c r="H30" i="10"/>
  <c r="G30" i="10"/>
  <c r="F30" i="10"/>
  <c r="E30" i="10"/>
  <c r="O118" i="18" s="1"/>
  <c r="D30" i="10"/>
  <c r="C30" i="10"/>
  <c r="S118" i="18"/>
  <c r="T130" i="19"/>
  <c r="X129" i="19"/>
  <c r="T129" i="19"/>
  <c r="Q129" i="19"/>
  <c r="P129" i="19"/>
  <c r="X128" i="19"/>
  <c r="V128" i="19"/>
  <c r="T128" i="19"/>
  <c r="R128" i="19"/>
  <c r="Q128" i="19"/>
  <c r="P128" i="19"/>
  <c r="X127" i="19"/>
  <c r="T127" i="19"/>
  <c r="P127" i="19"/>
  <c r="X126" i="19"/>
  <c r="U126" i="19"/>
  <c r="T126" i="19"/>
  <c r="P126" i="19"/>
  <c r="M126" i="19"/>
  <c r="X125" i="19"/>
  <c r="T125" i="19"/>
  <c r="P125" i="19"/>
  <c r="N125" i="19"/>
  <c r="X123" i="19"/>
  <c r="T123" i="19"/>
  <c r="P123" i="19"/>
  <c r="X122" i="19"/>
  <c r="T122" i="19"/>
  <c r="P122" i="19"/>
  <c r="M122" i="19"/>
  <c r="U118" i="18"/>
  <c r="Q118" i="18"/>
  <c r="N43" i="10"/>
  <c r="H143" i="19"/>
  <c r="H146" i="19"/>
  <c r="B19" i="21" s="1"/>
  <c r="H146" i="18"/>
  <c r="B32" i="21" s="1"/>
  <c r="H143" i="18"/>
  <c r="H146" i="17"/>
  <c r="B45" i="21" s="1"/>
  <c r="H143" i="17"/>
  <c r="X37" i="19"/>
  <c r="H118" i="18"/>
  <c r="I118" i="18"/>
  <c r="J118" i="18"/>
  <c r="K118" i="18"/>
  <c r="L118" i="18"/>
  <c r="L21" i="3"/>
  <c r="H21" i="3"/>
  <c r="C21" i="3"/>
  <c r="M8" i="3"/>
  <c r="M5" i="3"/>
  <c r="P116" i="18"/>
  <c r="T116" i="18"/>
  <c r="Y86" i="18"/>
  <c r="Y88" i="18"/>
  <c r="Y90" i="18"/>
  <c r="Y91" i="18"/>
  <c r="Y93" i="18"/>
  <c r="Y95" i="18"/>
  <c r="Y98" i="18"/>
  <c r="Y99" i="18"/>
  <c r="Y103" i="18"/>
  <c r="Y104" i="18"/>
  <c r="Y107" i="18"/>
  <c r="Y109" i="18"/>
  <c r="Y112" i="18"/>
  <c r="Y114" i="18"/>
  <c r="Y115" i="18"/>
  <c r="L154" i="19"/>
  <c r="K154" i="19"/>
  <c r="J154" i="19"/>
  <c r="I154" i="19"/>
  <c r="H154" i="19"/>
  <c r="L152" i="19"/>
  <c r="K152" i="19"/>
  <c r="J152" i="19"/>
  <c r="I152" i="19"/>
  <c r="H152" i="19"/>
  <c r="X150" i="19"/>
  <c r="W150" i="19"/>
  <c r="V150" i="19"/>
  <c r="U150" i="19"/>
  <c r="T150" i="19"/>
  <c r="S150" i="19"/>
  <c r="R150" i="19"/>
  <c r="Q150" i="19"/>
  <c r="P150" i="19"/>
  <c r="O150" i="19"/>
  <c r="N150" i="19"/>
  <c r="M150" i="19"/>
  <c r="L150" i="19"/>
  <c r="K150" i="19"/>
  <c r="J150" i="19"/>
  <c r="I150" i="19"/>
  <c r="H150" i="19"/>
  <c r="H144" i="19"/>
  <c r="N142" i="19"/>
  <c r="M142" i="19"/>
  <c r="H142" i="19"/>
  <c r="X138" i="19"/>
  <c r="W138" i="19"/>
  <c r="V138" i="19"/>
  <c r="U138" i="19"/>
  <c r="T138" i="19"/>
  <c r="S138" i="19"/>
  <c r="R138" i="19"/>
  <c r="Q138" i="19"/>
  <c r="P138" i="19"/>
  <c r="O138" i="19"/>
  <c r="N138" i="19"/>
  <c r="M138" i="19"/>
  <c r="H138" i="19"/>
  <c r="X137" i="19"/>
  <c r="V137" i="19"/>
  <c r="U137" i="19"/>
  <c r="T137" i="19"/>
  <c r="R137" i="19"/>
  <c r="Q137" i="19"/>
  <c r="P137" i="19"/>
  <c r="N137" i="19"/>
  <c r="M137" i="19"/>
  <c r="H137" i="19"/>
  <c r="X136" i="19"/>
  <c r="U136" i="19"/>
  <c r="R136" i="19"/>
  <c r="Q136" i="19"/>
  <c r="P136" i="19"/>
  <c r="H136" i="19"/>
  <c r="X135" i="19"/>
  <c r="W135" i="19"/>
  <c r="V135" i="19"/>
  <c r="U135" i="19"/>
  <c r="T135" i="19"/>
  <c r="S135" i="19"/>
  <c r="R135" i="19"/>
  <c r="Q135" i="19"/>
  <c r="P135" i="19"/>
  <c r="O135" i="19"/>
  <c r="N135" i="19"/>
  <c r="M135" i="19"/>
  <c r="H135" i="19"/>
  <c r="X134" i="19"/>
  <c r="U134" i="19"/>
  <c r="R134" i="19"/>
  <c r="Q134" i="19"/>
  <c r="P134" i="19"/>
  <c r="M134" i="19"/>
  <c r="H134" i="19"/>
  <c r="X133" i="19"/>
  <c r="V133" i="19"/>
  <c r="U133" i="19"/>
  <c r="T133" i="19"/>
  <c r="R133" i="19"/>
  <c r="Q133" i="19"/>
  <c r="P133" i="19"/>
  <c r="N133" i="19"/>
  <c r="M133" i="19"/>
  <c r="H133" i="19"/>
  <c r="X132" i="19"/>
  <c r="V132" i="19"/>
  <c r="U132" i="19"/>
  <c r="T132" i="19"/>
  <c r="R132" i="19"/>
  <c r="Q132" i="19"/>
  <c r="P132" i="19"/>
  <c r="N132" i="19"/>
  <c r="M132" i="19"/>
  <c r="H132" i="19"/>
  <c r="X131" i="19"/>
  <c r="W131" i="19"/>
  <c r="V131" i="19"/>
  <c r="U131" i="19"/>
  <c r="T131" i="19"/>
  <c r="S131" i="19"/>
  <c r="R131" i="19"/>
  <c r="Q131" i="19"/>
  <c r="P131" i="19"/>
  <c r="O131" i="19"/>
  <c r="N131" i="19"/>
  <c r="M131" i="19"/>
  <c r="H131" i="19"/>
  <c r="W130" i="19"/>
  <c r="S130" i="19"/>
  <c r="O130" i="19"/>
  <c r="M130" i="19"/>
  <c r="H130" i="19"/>
  <c r="W129" i="19"/>
  <c r="V129" i="19"/>
  <c r="S129" i="19"/>
  <c r="O129" i="19"/>
  <c r="N129" i="19"/>
  <c r="H129" i="19"/>
  <c r="W128" i="19"/>
  <c r="S128" i="19"/>
  <c r="O128" i="19"/>
  <c r="H128" i="19"/>
  <c r="W127" i="19"/>
  <c r="V127" i="19"/>
  <c r="U127" i="19"/>
  <c r="S127" i="19"/>
  <c r="O127" i="19"/>
  <c r="H127" i="19"/>
  <c r="W126" i="19"/>
  <c r="S126" i="19"/>
  <c r="R126" i="19"/>
  <c r="O126" i="19"/>
  <c r="H126" i="19"/>
  <c r="W125" i="19"/>
  <c r="S125" i="19"/>
  <c r="O125" i="19"/>
  <c r="H125" i="19"/>
  <c r="X124" i="19"/>
  <c r="W124" i="19"/>
  <c r="T124" i="19"/>
  <c r="S124" i="19"/>
  <c r="P124" i="19"/>
  <c r="O124" i="19"/>
  <c r="H124" i="19"/>
  <c r="W123" i="19"/>
  <c r="S123" i="19"/>
  <c r="R123" i="19"/>
  <c r="O123" i="19"/>
  <c r="H123" i="19"/>
  <c r="O122" i="19"/>
  <c r="H122" i="19"/>
  <c r="X121" i="19"/>
  <c r="W121" i="19"/>
  <c r="T121" i="19"/>
  <c r="S121" i="19"/>
  <c r="P121" i="19"/>
  <c r="O121" i="19"/>
  <c r="J121" i="19"/>
  <c r="I121" i="19"/>
  <c r="H121" i="19"/>
  <c r="X120" i="19"/>
  <c r="W120" i="19"/>
  <c r="T120" i="19"/>
  <c r="S120" i="19"/>
  <c r="P120" i="19"/>
  <c r="O120" i="19"/>
  <c r="H120" i="19"/>
  <c r="Y119" i="19"/>
  <c r="Z119" i="19" s="1"/>
  <c r="X115" i="19"/>
  <c r="W115" i="19"/>
  <c r="V115" i="19"/>
  <c r="U115" i="19"/>
  <c r="T115" i="19"/>
  <c r="S115" i="19"/>
  <c r="R115" i="19"/>
  <c r="Q115" i="19"/>
  <c r="P115" i="19"/>
  <c r="O115" i="19"/>
  <c r="N115" i="19"/>
  <c r="M115" i="19"/>
  <c r="L115" i="19"/>
  <c r="K115" i="19"/>
  <c r="J115" i="19"/>
  <c r="I115" i="19"/>
  <c r="H115" i="19"/>
  <c r="H114" i="19"/>
  <c r="X112" i="19"/>
  <c r="W112" i="19"/>
  <c r="V112" i="19"/>
  <c r="U112" i="19"/>
  <c r="T112" i="19"/>
  <c r="S112" i="19"/>
  <c r="R112" i="19"/>
  <c r="Q112" i="19"/>
  <c r="P112" i="19"/>
  <c r="O112" i="19"/>
  <c r="N112" i="19"/>
  <c r="M112" i="19"/>
  <c r="L112" i="19"/>
  <c r="K112" i="19"/>
  <c r="J112" i="19"/>
  <c r="I112" i="19"/>
  <c r="H112" i="19"/>
  <c r="X110" i="19"/>
  <c r="W110" i="19"/>
  <c r="V110" i="19"/>
  <c r="U110" i="19"/>
  <c r="T110" i="19"/>
  <c r="S110" i="19"/>
  <c r="R110" i="19"/>
  <c r="Q110" i="19"/>
  <c r="P110" i="19"/>
  <c r="O110" i="19"/>
  <c r="N110" i="19"/>
  <c r="M110" i="19"/>
  <c r="L110" i="19"/>
  <c r="K110" i="19"/>
  <c r="J110" i="19"/>
  <c r="I110" i="19"/>
  <c r="H110" i="19"/>
  <c r="X109" i="19"/>
  <c r="W109" i="19"/>
  <c r="V109" i="19"/>
  <c r="U109" i="19"/>
  <c r="T109" i="19"/>
  <c r="S109" i="19"/>
  <c r="R109" i="19"/>
  <c r="Q109" i="19"/>
  <c r="P109" i="19"/>
  <c r="O109" i="19"/>
  <c r="N109" i="19"/>
  <c r="M109" i="19"/>
  <c r="L109" i="19"/>
  <c r="K109" i="19"/>
  <c r="J109" i="19"/>
  <c r="I109" i="19"/>
  <c r="H109" i="19"/>
  <c r="X108" i="19"/>
  <c r="W108" i="19"/>
  <c r="V108" i="19"/>
  <c r="U108" i="19"/>
  <c r="T108" i="19"/>
  <c r="S108" i="19"/>
  <c r="R108" i="19"/>
  <c r="Q108" i="19"/>
  <c r="P108" i="19"/>
  <c r="O108" i="19"/>
  <c r="N108" i="19"/>
  <c r="M108" i="19"/>
  <c r="L108" i="19"/>
  <c r="K108" i="19"/>
  <c r="J108" i="19"/>
  <c r="I108" i="19"/>
  <c r="H108" i="19"/>
  <c r="X107" i="19"/>
  <c r="W107" i="19"/>
  <c r="V107" i="19"/>
  <c r="U107" i="19"/>
  <c r="T107" i="19"/>
  <c r="S107" i="19"/>
  <c r="R107" i="19"/>
  <c r="Q107" i="19"/>
  <c r="P107" i="19"/>
  <c r="O107" i="19"/>
  <c r="N107" i="19"/>
  <c r="M107" i="19"/>
  <c r="L107" i="19"/>
  <c r="K107" i="19"/>
  <c r="J107" i="19"/>
  <c r="I107" i="19"/>
  <c r="H107" i="19"/>
  <c r="X106" i="19"/>
  <c r="W106" i="19"/>
  <c r="V106" i="19"/>
  <c r="U106" i="19"/>
  <c r="T106" i="19"/>
  <c r="S106" i="19"/>
  <c r="R106" i="19"/>
  <c r="Q106" i="19"/>
  <c r="P106" i="19"/>
  <c r="O106" i="19"/>
  <c r="N106" i="19"/>
  <c r="M106" i="19"/>
  <c r="H106" i="19"/>
  <c r="X105" i="19"/>
  <c r="W105" i="19"/>
  <c r="V105" i="19"/>
  <c r="U105" i="19"/>
  <c r="T105" i="19"/>
  <c r="S105" i="19"/>
  <c r="R105" i="19"/>
  <c r="Q105" i="19"/>
  <c r="P105" i="19"/>
  <c r="O105" i="19"/>
  <c r="N105" i="19"/>
  <c r="M105" i="19"/>
  <c r="L105" i="19"/>
  <c r="K105" i="19"/>
  <c r="J105" i="19"/>
  <c r="I105" i="19"/>
  <c r="H105" i="19"/>
  <c r="X104" i="19"/>
  <c r="W104" i="19"/>
  <c r="V104" i="19"/>
  <c r="U104" i="19"/>
  <c r="T104" i="19"/>
  <c r="S104" i="19"/>
  <c r="R104" i="19"/>
  <c r="Q104" i="19"/>
  <c r="P104" i="19"/>
  <c r="O104" i="19"/>
  <c r="N104" i="19"/>
  <c r="M104" i="19"/>
  <c r="L104" i="19"/>
  <c r="K104" i="19"/>
  <c r="J104" i="19"/>
  <c r="I104" i="19"/>
  <c r="H104" i="19"/>
  <c r="X103" i="19"/>
  <c r="W103" i="19"/>
  <c r="V103" i="19"/>
  <c r="U103" i="19"/>
  <c r="T103" i="19"/>
  <c r="S103" i="19"/>
  <c r="R103" i="19"/>
  <c r="Q103" i="19"/>
  <c r="P103" i="19"/>
  <c r="O103" i="19"/>
  <c r="N103" i="19"/>
  <c r="M103" i="19"/>
  <c r="L103" i="19"/>
  <c r="K103" i="19"/>
  <c r="J103" i="19"/>
  <c r="I103" i="19"/>
  <c r="H103" i="19"/>
  <c r="L102" i="19"/>
  <c r="K102" i="19"/>
  <c r="J102" i="19"/>
  <c r="I102" i="19"/>
  <c r="H102" i="19"/>
  <c r="X101" i="19"/>
  <c r="W101" i="19"/>
  <c r="V101" i="19"/>
  <c r="U101" i="19"/>
  <c r="T101" i="19"/>
  <c r="S101" i="19"/>
  <c r="R101" i="19"/>
  <c r="Q101" i="19"/>
  <c r="P101" i="19"/>
  <c r="O101" i="19"/>
  <c r="N101" i="19"/>
  <c r="M101" i="19"/>
  <c r="L101" i="19"/>
  <c r="K101" i="19"/>
  <c r="J101" i="19"/>
  <c r="I101" i="19"/>
  <c r="H101" i="19"/>
  <c r="L100" i="19"/>
  <c r="K100" i="19"/>
  <c r="J100" i="19"/>
  <c r="I100" i="19"/>
  <c r="H100" i="19"/>
  <c r="X99" i="19"/>
  <c r="W99" i="19"/>
  <c r="V99" i="19"/>
  <c r="U99" i="19"/>
  <c r="T99" i="19"/>
  <c r="S99" i="19"/>
  <c r="R99" i="19"/>
  <c r="Q99" i="19"/>
  <c r="P99" i="19"/>
  <c r="O99" i="19"/>
  <c r="N99" i="19"/>
  <c r="M99" i="19"/>
  <c r="L99" i="19"/>
  <c r="K99" i="19"/>
  <c r="J99" i="19"/>
  <c r="I99" i="19"/>
  <c r="H99" i="19"/>
  <c r="X98" i="19"/>
  <c r="W98" i="19"/>
  <c r="V98" i="19"/>
  <c r="U98" i="19"/>
  <c r="T98" i="19"/>
  <c r="S98" i="19"/>
  <c r="R98" i="19"/>
  <c r="Q98" i="19"/>
  <c r="P98" i="19"/>
  <c r="O98" i="19"/>
  <c r="N98" i="19"/>
  <c r="M98" i="19"/>
  <c r="H98" i="19"/>
  <c r="H96" i="19"/>
  <c r="H95" i="19"/>
  <c r="H93" i="19"/>
  <c r="X92" i="19"/>
  <c r="W92" i="19"/>
  <c r="V92" i="19"/>
  <c r="U92" i="19"/>
  <c r="T92" i="19"/>
  <c r="S92" i="19"/>
  <c r="R92" i="19"/>
  <c r="Q92" i="19"/>
  <c r="P92" i="19"/>
  <c r="O92" i="19"/>
  <c r="N92" i="19"/>
  <c r="M92" i="19"/>
  <c r="H92" i="19"/>
  <c r="X91" i="19"/>
  <c r="W91" i="19"/>
  <c r="V91" i="19"/>
  <c r="U91" i="19"/>
  <c r="T91" i="19"/>
  <c r="S91" i="19"/>
  <c r="R91" i="19"/>
  <c r="Q91" i="19"/>
  <c r="P91" i="19"/>
  <c r="O91" i="19"/>
  <c r="N91" i="19"/>
  <c r="M91" i="19"/>
  <c r="H91" i="19"/>
  <c r="X90" i="19"/>
  <c r="W90" i="19"/>
  <c r="V90" i="19"/>
  <c r="U90" i="19"/>
  <c r="T90" i="19"/>
  <c r="S90" i="19"/>
  <c r="R90" i="19"/>
  <c r="Q90" i="19"/>
  <c r="P90" i="19"/>
  <c r="O90" i="19"/>
  <c r="N90" i="19"/>
  <c r="M90" i="19"/>
  <c r="H90" i="19"/>
  <c r="X88" i="19"/>
  <c r="W88" i="19"/>
  <c r="V88" i="19"/>
  <c r="U88" i="19"/>
  <c r="T88" i="19"/>
  <c r="S88" i="19"/>
  <c r="R88" i="19"/>
  <c r="Q88" i="19"/>
  <c r="P88" i="19"/>
  <c r="O88" i="19"/>
  <c r="N88" i="19"/>
  <c r="M88" i="19"/>
  <c r="H88" i="19"/>
  <c r="X87" i="19"/>
  <c r="W87" i="19"/>
  <c r="V87" i="19"/>
  <c r="U87" i="19"/>
  <c r="T87" i="19"/>
  <c r="S87" i="19"/>
  <c r="R87" i="19"/>
  <c r="Q87" i="19"/>
  <c r="P87" i="19"/>
  <c r="O87" i="19"/>
  <c r="N87" i="19"/>
  <c r="M87" i="19"/>
  <c r="H87" i="19"/>
  <c r="H86" i="19"/>
  <c r="X85" i="19"/>
  <c r="W85" i="19"/>
  <c r="V85" i="19"/>
  <c r="U85" i="19"/>
  <c r="T85" i="19"/>
  <c r="S85" i="19"/>
  <c r="R85" i="19"/>
  <c r="Q85" i="19"/>
  <c r="P85" i="19"/>
  <c r="O85" i="19"/>
  <c r="N85" i="19"/>
  <c r="M85" i="19"/>
  <c r="H85" i="19"/>
  <c r="X81" i="19"/>
  <c r="W81" i="19"/>
  <c r="V81" i="19"/>
  <c r="U81" i="19"/>
  <c r="T81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X80" i="19"/>
  <c r="W80" i="19"/>
  <c r="V80" i="19"/>
  <c r="U80" i="19"/>
  <c r="T80" i="19"/>
  <c r="S80" i="19"/>
  <c r="R80" i="19"/>
  <c r="Q80" i="19"/>
  <c r="P80" i="19"/>
  <c r="O80" i="19"/>
  <c r="N80" i="19"/>
  <c r="M80" i="19"/>
  <c r="L80" i="19"/>
  <c r="K80" i="19"/>
  <c r="J80" i="19"/>
  <c r="I80" i="19"/>
  <c r="H80" i="19"/>
  <c r="X79" i="19"/>
  <c r="W79" i="19"/>
  <c r="V79" i="19"/>
  <c r="U79" i="19"/>
  <c r="T79" i="19"/>
  <c r="S79" i="19"/>
  <c r="R79" i="19"/>
  <c r="Q79" i="19"/>
  <c r="P79" i="19"/>
  <c r="O79" i="19"/>
  <c r="N79" i="19"/>
  <c r="M79" i="19"/>
  <c r="H79" i="19"/>
  <c r="X78" i="19"/>
  <c r="W78" i="19"/>
  <c r="V78" i="19"/>
  <c r="U78" i="19"/>
  <c r="T78" i="19"/>
  <c r="S78" i="19"/>
  <c r="R78" i="19"/>
  <c r="Q78" i="19"/>
  <c r="P78" i="19"/>
  <c r="O78" i="19"/>
  <c r="N78" i="19"/>
  <c r="M78" i="19"/>
  <c r="H78" i="19"/>
  <c r="X77" i="19"/>
  <c r="W77" i="19"/>
  <c r="V77" i="19"/>
  <c r="U77" i="19"/>
  <c r="T77" i="19"/>
  <c r="S77" i="19"/>
  <c r="R77" i="19"/>
  <c r="Q77" i="19"/>
  <c r="P77" i="19"/>
  <c r="O77" i="19"/>
  <c r="N77" i="19"/>
  <c r="M77" i="19"/>
  <c r="L77" i="19"/>
  <c r="K77" i="19"/>
  <c r="J77" i="19"/>
  <c r="I77" i="19"/>
  <c r="H77" i="19"/>
  <c r="X76" i="19"/>
  <c r="W76" i="19"/>
  <c r="V76" i="19"/>
  <c r="U76" i="19"/>
  <c r="T76" i="19"/>
  <c r="S76" i="19"/>
  <c r="R76" i="19"/>
  <c r="Q76" i="19"/>
  <c r="P76" i="19"/>
  <c r="O76" i="19"/>
  <c r="N76" i="19"/>
  <c r="M76" i="19"/>
  <c r="H76" i="19"/>
  <c r="X73" i="19"/>
  <c r="W73" i="19"/>
  <c r="V73" i="19"/>
  <c r="U73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H71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H70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H69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H68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H67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H59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H55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H50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H49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H48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H46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H45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H44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H41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H39" i="19"/>
  <c r="T37" i="19"/>
  <c r="Y36" i="19"/>
  <c r="Z36" i="19" s="1"/>
  <c r="Y34" i="19"/>
  <c r="Z34" i="19" s="1"/>
  <c r="Y32" i="19"/>
  <c r="Z32" i="19" s="1"/>
  <c r="V37" i="19"/>
  <c r="R37" i="19"/>
  <c r="P37" i="19"/>
  <c r="N37" i="19"/>
  <c r="L37" i="19"/>
  <c r="J37" i="19"/>
  <c r="H37" i="19"/>
  <c r="W37" i="19"/>
  <c r="U37" i="19"/>
  <c r="S37" i="19"/>
  <c r="Q37" i="19"/>
  <c r="O37" i="19"/>
  <c r="M37" i="19"/>
  <c r="K37" i="19"/>
  <c r="I37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Y22" i="19"/>
  <c r="Z22" i="19" s="1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Y8" i="19"/>
  <c r="Z8" i="19" s="1"/>
  <c r="X7" i="19"/>
  <c r="W7" i="19"/>
  <c r="V7" i="19"/>
  <c r="U7" i="19"/>
  <c r="T7" i="19"/>
  <c r="S7" i="19"/>
  <c r="R7" i="19"/>
  <c r="Q7" i="19"/>
  <c r="P7" i="19"/>
  <c r="O7" i="19"/>
  <c r="N7" i="19"/>
  <c r="M7" i="19"/>
  <c r="H7" i="19"/>
  <c r="X6" i="19"/>
  <c r="W6" i="19"/>
  <c r="V6" i="19"/>
  <c r="U6" i="19"/>
  <c r="T6" i="19"/>
  <c r="S6" i="19"/>
  <c r="R6" i="19"/>
  <c r="Q6" i="19"/>
  <c r="P6" i="19"/>
  <c r="O6" i="19"/>
  <c r="N6" i="19"/>
  <c r="H6" i="19"/>
  <c r="L152" i="18"/>
  <c r="K152" i="18"/>
  <c r="J152" i="18"/>
  <c r="I152" i="18"/>
  <c r="H152" i="18"/>
  <c r="V151" i="18"/>
  <c r="R151" i="18"/>
  <c r="N151" i="18"/>
  <c r="J151" i="18"/>
  <c r="Y150" i="18"/>
  <c r="X151" i="18"/>
  <c r="W151" i="18"/>
  <c r="U151" i="18"/>
  <c r="T151" i="18"/>
  <c r="S151" i="18"/>
  <c r="Q151" i="18"/>
  <c r="P151" i="18"/>
  <c r="O151" i="18"/>
  <c r="M151" i="18"/>
  <c r="L151" i="18"/>
  <c r="K151" i="18"/>
  <c r="I151" i="18"/>
  <c r="H151" i="18"/>
  <c r="Y145" i="18"/>
  <c r="Y142" i="18"/>
  <c r="Y137" i="18"/>
  <c r="Y136" i="18"/>
  <c r="Y134" i="18"/>
  <c r="Y132" i="18"/>
  <c r="Y131" i="18"/>
  <c r="Y129" i="18"/>
  <c r="Y128" i="18"/>
  <c r="Y126" i="18"/>
  <c r="Y124" i="18"/>
  <c r="Y123" i="18"/>
  <c r="Y121" i="18"/>
  <c r="Y120" i="18"/>
  <c r="X119" i="18"/>
  <c r="W119" i="18"/>
  <c r="V119" i="18"/>
  <c r="U119" i="18"/>
  <c r="T119" i="18"/>
  <c r="S119" i="18"/>
  <c r="R119" i="18"/>
  <c r="Q119" i="18"/>
  <c r="P119" i="18"/>
  <c r="O119" i="18"/>
  <c r="N119" i="18"/>
  <c r="M119" i="18"/>
  <c r="H119" i="18"/>
  <c r="X118" i="18"/>
  <c r="V118" i="18"/>
  <c r="V139" i="18" s="1"/>
  <c r="T118" i="18"/>
  <c r="R118" i="18"/>
  <c r="P118" i="18"/>
  <c r="N118" i="18"/>
  <c r="N139" i="18" s="1"/>
  <c r="M118" i="18"/>
  <c r="Y111" i="18"/>
  <c r="Y106" i="18"/>
  <c r="Y101" i="18"/>
  <c r="Y96" i="18"/>
  <c r="R116" i="18"/>
  <c r="Y87" i="18"/>
  <c r="X116" i="18"/>
  <c r="W116" i="18"/>
  <c r="V116" i="18"/>
  <c r="S116" i="18"/>
  <c r="O116" i="18"/>
  <c r="N116" i="18"/>
  <c r="L116" i="18"/>
  <c r="K116" i="18"/>
  <c r="J116" i="18"/>
  <c r="H116" i="18"/>
  <c r="R82" i="18"/>
  <c r="M82" i="18"/>
  <c r="Y81" i="18"/>
  <c r="Y79" i="18"/>
  <c r="X82" i="18"/>
  <c r="U82" i="18"/>
  <c r="T82" i="18"/>
  <c r="Q82" i="18"/>
  <c r="L82" i="18"/>
  <c r="I82" i="18"/>
  <c r="H82" i="18"/>
  <c r="V82" i="18"/>
  <c r="N82" i="18"/>
  <c r="J82" i="18"/>
  <c r="Y72" i="18"/>
  <c r="Y71" i="18"/>
  <c r="S74" i="18"/>
  <c r="O74" i="18"/>
  <c r="K74" i="18"/>
  <c r="Y69" i="18"/>
  <c r="Y68" i="18"/>
  <c r="Y66" i="18"/>
  <c r="W74" i="18"/>
  <c r="V74" i="18"/>
  <c r="V83" i="18" s="1"/>
  <c r="U74" i="18"/>
  <c r="R74" i="18"/>
  <c r="Q74" i="18"/>
  <c r="Q83" i="18" s="1"/>
  <c r="N74" i="18"/>
  <c r="M74" i="18"/>
  <c r="J74" i="18"/>
  <c r="J83" i="18" s="1"/>
  <c r="I74" i="18"/>
  <c r="Y59" i="18"/>
  <c r="Y58" i="18"/>
  <c r="Y56" i="18"/>
  <c r="Y54" i="18"/>
  <c r="Y53" i="18"/>
  <c r="Y51" i="18"/>
  <c r="Y50" i="18"/>
  <c r="T61" i="18"/>
  <c r="P61" i="18"/>
  <c r="Y48" i="18"/>
  <c r="Y46" i="18"/>
  <c r="Y45" i="18"/>
  <c r="Y43" i="18"/>
  <c r="Y42" i="18"/>
  <c r="Y41" i="18"/>
  <c r="L61" i="18"/>
  <c r="X61" i="18"/>
  <c r="H61" i="18"/>
  <c r="Y39" i="18"/>
  <c r="U37" i="18"/>
  <c r="M37" i="18"/>
  <c r="Y36" i="18"/>
  <c r="Y35" i="18"/>
  <c r="V37" i="18"/>
  <c r="N37" i="18"/>
  <c r="Y33" i="18"/>
  <c r="Q37" i="18"/>
  <c r="Y32" i="18"/>
  <c r="I37" i="18"/>
  <c r="Y31" i="18"/>
  <c r="W37" i="18"/>
  <c r="S37" i="18"/>
  <c r="R37" i="18"/>
  <c r="O37" i="18"/>
  <c r="K37" i="18"/>
  <c r="J37" i="18"/>
  <c r="Y23" i="18"/>
  <c r="Y22" i="18"/>
  <c r="Y21" i="18"/>
  <c r="Y19" i="18"/>
  <c r="Y18" i="18"/>
  <c r="Y17" i="18"/>
  <c r="Y15" i="18"/>
  <c r="Y14" i="18"/>
  <c r="Y13" i="18"/>
  <c r="Y10" i="18"/>
  <c r="Y9" i="18"/>
  <c r="X8" i="18"/>
  <c r="X25" i="18" s="1"/>
  <c r="X26" i="18" s="1"/>
  <c r="W8" i="18"/>
  <c r="W25" i="18" s="1"/>
  <c r="W26" i="18" s="1"/>
  <c r="V8" i="18"/>
  <c r="V25" i="18" s="1"/>
  <c r="V26" i="18" s="1"/>
  <c r="U8" i="18"/>
  <c r="U25" i="18" s="1"/>
  <c r="U26" i="18" s="1"/>
  <c r="T8" i="18"/>
  <c r="T25" i="18" s="1"/>
  <c r="T26" i="18" s="1"/>
  <c r="R8" i="18"/>
  <c r="Q8" i="18"/>
  <c r="Q25" i="18" s="1"/>
  <c r="Q26" i="18" s="1"/>
  <c r="P8" i="18"/>
  <c r="P25" i="18" s="1"/>
  <c r="P26" i="18" s="1"/>
  <c r="O8" i="18"/>
  <c r="O25" i="18" s="1"/>
  <c r="O26" i="18" s="1"/>
  <c r="N8" i="18"/>
  <c r="N25" i="18" s="1"/>
  <c r="N26" i="18" s="1"/>
  <c r="M8" i="18"/>
  <c r="M25" i="18" s="1"/>
  <c r="M26" i="18" s="1"/>
  <c r="H8" i="18"/>
  <c r="H25" i="18" s="1"/>
  <c r="Y7" i="18"/>
  <c r="R25" i="18"/>
  <c r="R26" i="18" s="1"/>
  <c r="Y6" i="18"/>
  <c r="L152" i="17"/>
  <c r="K152" i="17"/>
  <c r="J152" i="17"/>
  <c r="I152" i="17"/>
  <c r="H152" i="17"/>
  <c r="J151" i="17"/>
  <c r="V151" i="17"/>
  <c r="U151" i="17"/>
  <c r="T151" i="17"/>
  <c r="R151" i="17"/>
  <c r="Q151" i="17"/>
  <c r="P151" i="17"/>
  <c r="O151" i="17"/>
  <c r="N151" i="17"/>
  <c r="X151" i="17"/>
  <c r="W151" i="17"/>
  <c r="S151" i="17"/>
  <c r="M151" i="17"/>
  <c r="L151" i="17"/>
  <c r="K151" i="17"/>
  <c r="I151" i="17"/>
  <c r="H151" i="17"/>
  <c r="Y145" i="17"/>
  <c r="Z145" i="17" s="1"/>
  <c r="Y144" i="17"/>
  <c r="Z144" i="17" s="1"/>
  <c r="Y142" i="17"/>
  <c r="Y137" i="17"/>
  <c r="Z137" i="17" s="1"/>
  <c r="Y136" i="17"/>
  <c r="Z136" i="17" s="1"/>
  <c r="Y134" i="17"/>
  <c r="Z134" i="17" s="1"/>
  <c r="Y132" i="17"/>
  <c r="Z132" i="17" s="1"/>
  <c r="Y131" i="17"/>
  <c r="Z131" i="17" s="1"/>
  <c r="Y129" i="17"/>
  <c r="Z129" i="17" s="1"/>
  <c r="Y128" i="17"/>
  <c r="Z128" i="17" s="1"/>
  <c r="Y126" i="17"/>
  <c r="Z126" i="17" s="1"/>
  <c r="Y124" i="17"/>
  <c r="Z124" i="17" s="1"/>
  <c r="Y123" i="17"/>
  <c r="Z123" i="17" s="1"/>
  <c r="Y121" i="17"/>
  <c r="Z121" i="17" s="1"/>
  <c r="Y120" i="17"/>
  <c r="Z120" i="17" s="1"/>
  <c r="X139" i="17"/>
  <c r="T139" i="17"/>
  <c r="P139" i="17"/>
  <c r="L139" i="17"/>
  <c r="H139" i="17"/>
  <c r="V139" i="17"/>
  <c r="U139" i="17"/>
  <c r="R139" i="17"/>
  <c r="Q139" i="17"/>
  <c r="N139" i="17"/>
  <c r="Y118" i="17"/>
  <c r="J139" i="17"/>
  <c r="I139" i="17"/>
  <c r="Y115" i="17"/>
  <c r="Z115" i="17" s="1"/>
  <c r="Y114" i="17"/>
  <c r="Z114" i="17" s="1"/>
  <c r="Y112" i="17"/>
  <c r="Z112" i="17" s="1"/>
  <c r="Y111" i="17"/>
  <c r="Z111" i="17" s="1"/>
  <c r="Y109" i="17"/>
  <c r="Z109" i="17" s="1"/>
  <c r="Y107" i="17"/>
  <c r="Z107" i="17" s="1"/>
  <c r="Y106" i="17"/>
  <c r="Z106" i="17" s="1"/>
  <c r="Y104" i="17"/>
  <c r="Z104" i="17" s="1"/>
  <c r="Y103" i="17"/>
  <c r="Z103" i="17" s="1"/>
  <c r="Y101" i="17"/>
  <c r="Z101" i="17" s="1"/>
  <c r="Y99" i="17"/>
  <c r="Z99" i="17" s="1"/>
  <c r="Y98" i="17"/>
  <c r="Z98" i="17" s="1"/>
  <c r="Y96" i="17"/>
  <c r="Z96" i="17" s="1"/>
  <c r="Y95" i="17"/>
  <c r="Z95" i="17" s="1"/>
  <c r="Y93" i="17"/>
  <c r="Z93" i="17" s="1"/>
  <c r="R116" i="17"/>
  <c r="Y91" i="17"/>
  <c r="Z91" i="17" s="1"/>
  <c r="Y90" i="17"/>
  <c r="Z90" i="17" s="1"/>
  <c r="Y88" i="17"/>
  <c r="Z88" i="17" s="1"/>
  <c r="Y87" i="17"/>
  <c r="Z87" i="17" s="1"/>
  <c r="Y86" i="17"/>
  <c r="Z86" i="17" s="1"/>
  <c r="X116" i="17"/>
  <c r="W116" i="17"/>
  <c r="V116" i="17"/>
  <c r="T116" i="17"/>
  <c r="S116" i="17"/>
  <c r="P116" i="17"/>
  <c r="O116" i="17"/>
  <c r="N116" i="17"/>
  <c r="L116" i="17"/>
  <c r="K116" i="17"/>
  <c r="J116" i="17"/>
  <c r="H116" i="17"/>
  <c r="R82" i="17"/>
  <c r="M82" i="17"/>
  <c r="Z81" i="17"/>
  <c r="Z79" i="17"/>
  <c r="X82" i="17"/>
  <c r="U82" i="17"/>
  <c r="T82" i="17"/>
  <c r="Q82" i="17"/>
  <c r="L82" i="17"/>
  <c r="I82" i="17"/>
  <c r="H82" i="17"/>
  <c r="V82" i="17"/>
  <c r="N82" i="17"/>
  <c r="J82" i="17"/>
  <c r="Y72" i="17"/>
  <c r="Z72" i="17" s="1"/>
  <c r="Y71" i="17"/>
  <c r="Z71" i="17" s="1"/>
  <c r="S74" i="17"/>
  <c r="O74" i="17"/>
  <c r="K74" i="17"/>
  <c r="Y69" i="17"/>
  <c r="Z69" i="17" s="1"/>
  <c r="Y68" i="17"/>
  <c r="Z68" i="17" s="1"/>
  <c r="Y66" i="17"/>
  <c r="Z66" i="17" s="1"/>
  <c r="W74" i="17"/>
  <c r="V74" i="17"/>
  <c r="V83" i="17" s="1"/>
  <c r="U74" i="17"/>
  <c r="R74" i="17"/>
  <c r="Q74" i="17"/>
  <c r="N74" i="17"/>
  <c r="N83" i="17" s="1"/>
  <c r="M74" i="17"/>
  <c r="J74" i="17"/>
  <c r="J83" i="17" s="1"/>
  <c r="I74" i="17"/>
  <c r="Y59" i="17"/>
  <c r="Z59" i="17" s="1"/>
  <c r="Y58" i="17"/>
  <c r="Z58" i="17" s="1"/>
  <c r="Y56" i="17"/>
  <c r="Z56" i="17" s="1"/>
  <c r="Y54" i="17"/>
  <c r="Z54" i="17" s="1"/>
  <c r="Y53" i="17"/>
  <c r="Z53" i="17" s="1"/>
  <c r="Y51" i="17"/>
  <c r="Z51" i="17" s="1"/>
  <c r="Y50" i="17"/>
  <c r="Z50" i="17" s="1"/>
  <c r="Y48" i="17"/>
  <c r="Z48" i="17" s="1"/>
  <c r="Y46" i="17"/>
  <c r="Z46" i="17" s="1"/>
  <c r="Y45" i="17"/>
  <c r="Z45" i="17" s="1"/>
  <c r="Y43" i="17"/>
  <c r="Z43" i="17" s="1"/>
  <c r="Y42" i="17"/>
  <c r="Z42" i="17" s="1"/>
  <c r="X61" i="17"/>
  <c r="T61" i="17"/>
  <c r="P61" i="17"/>
  <c r="L61" i="17"/>
  <c r="H61" i="17"/>
  <c r="Y40" i="17"/>
  <c r="Z40" i="17" s="1"/>
  <c r="W61" i="17"/>
  <c r="S61" i="17"/>
  <c r="O61" i="17"/>
  <c r="K61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Y24" i="17"/>
  <c r="Z24" i="17" s="1"/>
  <c r="Y23" i="17"/>
  <c r="Z23" i="17" s="1"/>
  <c r="Y21" i="17"/>
  <c r="Z21" i="17" s="1"/>
  <c r="X19" i="17"/>
  <c r="W19" i="17"/>
  <c r="U19" i="17"/>
  <c r="T19" i="17"/>
  <c r="S19" i="17"/>
  <c r="R19" i="17"/>
  <c r="Q19" i="17"/>
  <c r="P19" i="17"/>
  <c r="O19" i="17"/>
  <c r="N19" i="17"/>
  <c r="M19" i="17"/>
  <c r="H19" i="17"/>
  <c r="Y18" i="17"/>
  <c r="Z18" i="17" s="1"/>
  <c r="Y17" i="17"/>
  <c r="Z17" i="17" s="1"/>
  <c r="Y16" i="17"/>
  <c r="Z16" i="17" s="1"/>
  <c r="Y15" i="17"/>
  <c r="Y14" i="17"/>
  <c r="Z14" i="17" s="1"/>
  <c r="Y13" i="17"/>
  <c r="Z13" i="17" s="1"/>
  <c r="Y11" i="17"/>
  <c r="Z11" i="17" s="1"/>
  <c r="Y10" i="17"/>
  <c r="Z10" i="17" s="1"/>
  <c r="Y9" i="17"/>
  <c r="Z9" i="17" s="1"/>
  <c r="Y8" i="17"/>
  <c r="Z8" i="17" s="1"/>
  <c r="Y7" i="17"/>
  <c r="Z7" i="17" s="1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L121" i="19" l="1"/>
  <c r="K121" i="19"/>
  <c r="H26" i="18"/>
  <c r="C15" i="23"/>
  <c r="H157" i="22"/>
  <c r="B55" i="21"/>
  <c r="B61" i="21" s="1"/>
  <c r="Y153" i="22"/>
  <c r="R155" i="22"/>
  <c r="R156" i="22" s="1"/>
  <c r="R157" i="22" s="1"/>
  <c r="R153" i="13"/>
  <c r="Z10" i="18"/>
  <c r="AA10" i="13"/>
  <c r="Z22" i="18"/>
  <c r="Z31" i="18"/>
  <c r="Z36" i="18"/>
  <c r="AA36" i="13"/>
  <c r="Z42" i="18"/>
  <c r="AA42" i="13"/>
  <c r="Z51" i="18"/>
  <c r="AA51" i="13"/>
  <c r="Z58" i="18"/>
  <c r="AA58" i="13"/>
  <c r="Z111" i="18"/>
  <c r="Z124" i="18"/>
  <c r="AA124" i="13"/>
  <c r="Z137" i="18"/>
  <c r="AA137" i="13"/>
  <c r="Z150" i="18"/>
  <c r="Z115" i="18"/>
  <c r="AA115" i="13"/>
  <c r="Z107" i="18"/>
  <c r="AA107" i="13"/>
  <c r="Z90" i="18"/>
  <c r="AA90" i="13"/>
  <c r="Z13" i="18"/>
  <c r="AA13" i="13"/>
  <c r="Z23" i="18"/>
  <c r="AA23" i="13"/>
  <c r="Z43" i="18"/>
  <c r="AA43" i="13"/>
  <c r="Z59" i="18"/>
  <c r="AA59" i="13"/>
  <c r="Z71" i="18"/>
  <c r="AA71" i="13"/>
  <c r="Z79" i="18"/>
  <c r="AA79" i="13"/>
  <c r="Z126" i="18"/>
  <c r="AA126" i="13"/>
  <c r="AA142" i="13"/>
  <c r="Z114" i="18"/>
  <c r="AA114" i="13"/>
  <c r="Z104" i="18"/>
  <c r="AA104" i="13"/>
  <c r="Z95" i="18"/>
  <c r="AA95" i="13"/>
  <c r="Z88" i="18"/>
  <c r="AA88" i="13"/>
  <c r="Z14" i="18"/>
  <c r="AA14" i="13"/>
  <c r="Z19" i="18"/>
  <c r="Z32" i="18"/>
  <c r="Z45" i="18"/>
  <c r="AA45" i="13"/>
  <c r="Z54" i="18"/>
  <c r="AA54" i="13"/>
  <c r="Z72" i="18"/>
  <c r="AA72" i="13"/>
  <c r="Z81" i="18"/>
  <c r="AA81" i="13"/>
  <c r="Z101" i="18"/>
  <c r="AA101" i="13"/>
  <c r="Z121" i="18"/>
  <c r="AA121" i="13"/>
  <c r="Z128" i="18"/>
  <c r="AA128" i="13"/>
  <c r="Z134" i="18"/>
  <c r="Z145" i="18"/>
  <c r="AA145" i="13"/>
  <c r="Z112" i="18"/>
  <c r="AA112" i="13"/>
  <c r="Z103" i="18"/>
  <c r="AA103" i="13"/>
  <c r="Z93" i="18"/>
  <c r="Z86" i="18"/>
  <c r="AA86" i="13"/>
  <c r="Z17" i="18"/>
  <c r="AA17" i="13"/>
  <c r="Z33" i="18"/>
  <c r="Z48" i="18"/>
  <c r="AA48" i="13"/>
  <c r="Z68" i="18"/>
  <c r="AA68" i="13"/>
  <c r="Z131" i="18"/>
  <c r="Z98" i="18"/>
  <c r="AA98" i="13"/>
  <c r="Z7" i="18"/>
  <c r="AA7" i="13"/>
  <c r="Z18" i="18"/>
  <c r="AA18" i="13"/>
  <c r="Z53" i="18"/>
  <c r="AA53" i="13"/>
  <c r="Z69" i="18"/>
  <c r="AA69" i="13"/>
  <c r="Z96" i="18"/>
  <c r="AA96" i="13"/>
  <c r="Z120" i="18"/>
  <c r="AA120" i="13"/>
  <c r="Z132" i="18"/>
  <c r="AA132" i="13"/>
  <c r="Z9" i="18"/>
  <c r="AA9" i="13"/>
  <c r="AA15" i="13"/>
  <c r="Z21" i="18"/>
  <c r="AA21" i="13"/>
  <c r="Z35" i="18"/>
  <c r="Z41" i="18"/>
  <c r="Z46" i="18"/>
  <c r="AA46" i="13"/>
  <c r="Z50" i="18"/>
  <c r="AA50" i="13"/>
  <c r="Z56" i="18"/>
  <c r="AA56" i="13"/>
  <c r="Z66" i="18"/>
  <c r="AA66" i="13"/>
  <c r="Z87" i="18"/>
  <c r="AA87" i="13"/>
  <c r="Z106" i="18"/>
  <c r="AA106" i="13"/>
  <c r="Z123" i="18"/>
  <c r="AA123" i="13"/>
  <c r="Z129" i="18"/>
  <c r="AA129" i="13"/>
  <c r="Z136" i="18"/>
  <c r="Z109" i="18"/>
  <c r="AA109" i="13"/>
  <c r="Z99" i="18"/>
  <c r="AA99" i="13"/>
  <c r="Z91" i="18"/>
  <c r="AA91" i="13"/>
  <c r="I83" i="17"/>
  <c r="Y92" i="19"/>
  <c r="Z92" i="19" s="1"/>
  <c r="Y98" i="19"/>
  <c r="Z98" i="19" s="1"/>
  <c r="Y106" i="19"/>
  <c r="Z106" i="19" s="1"/>
  <c r="Y110" i="19"/>
  <c r="Z110" i="19" s="1"/>
  <c r="Y34" i="17"/>
  <c r="Z34" i="17" s="1"/>
  <c r="Q83" i="17"/>
  <c r="M83" i="18"/>
  <c r="U83" i="18"/>
  <c r="U61" i="19"/>
  <c r="R82" i="19"/>
  <c r="Q82" i="19"/>
  <c r="T82" i="19"/>
  <c r="Y81" i="19"/>
  <c r="Z81" i="19" s="1"/>
  <c r="Y30" i="17"/>
  <c r="Z30" i="17" s="1"/>
  <c r="O25" i="19"/>
  <c r="O26" i="19" s="1"/>
  <c r="N61" i="19"/>
  <c r="R61" i="19"/>
  <c r="V61" i="19"/>
  <c r="Q61" i="19"/>
  <c r="Y57" i="19"/>
  <c r="I83" i="18"/>
  <c r="P25" i="19"/>
  <c r="P26" i="19" s="1"/>
  <c r="X25" i="19"/>
  <c r="X26" i="19" s="1"/>
  <c r="Y17" i="19"/>
  <c r="Z17" i="19" s="1"/>
  <c r="N74" i="19"/>
  <c r="R74" i="19"/>
  <c r="R83" i="19" s="1"/>
  <c r="V74" i="19"/>
  <c r="Y65" i="19"/>
  <c r="Z65" i="19" s="1"/>
  <c r="U74" i="19"/>
  <c r="Y69" i="19"/>
  <c r="Z69" i="19" s="1"/>
  <c r="Y73" i="19"/>
  <c r="Z73" i="19" s="1"/>
  <c r="Y33" i="17"/>
  <c r="AA33" i="13" s="1"/>
  <c r="S25" i="19"/>
  <c r="S26" i="19" s="1"/>
  <c r="W25" i="19"/>
  <c r="W26" i="19" s="1"/>
  <c r="Y12" i="19"/>
  <c r="Y16" i="19"/>
  <c r="Y21" i="19"/>
  <c r="Y39" i="19"/>
  <c r="Y43" i="19"/>
  <c r="Y47" i="19"/>
  <c r="Y51" i="19"/>
  <c r="Y55" i="19"/>
  <c r="M61" i="19"/>
  <c r="Y68" i="19"/>
  <c r="Y72" i="19"/>
  <c r="Y76" i="19"/>
  <c r="N82" i="19"/>
  <c r="V82" i="19"/>
  <c r="Y80" i="19"/>
  <c r="Y101" i="19"/>
  <c r="Y105" i="19"/>
  <c r="Y109" i="19"/>
  <c r="Y150" i="17"/>
  <c r="Z150" i="17" s="1"/>
  <c r="H25" i="19"/>
  <c r="Q25" i="19"/>
  <c r="Q26" i="19" s="1"/>
  <c r="U25" i="19"/>
  <c r="U26" i="19" s="1"/>
  <c r="T25" i="19"/>
  <c r="T26" i="19" s="1"/>
  <c r="Y10" i="19"/>
  <c r="Y14" i="19"/>
  <c r="Y18" i="19"/>
  <c r="O61" i="19"/>
  <c r="S61" i="19"/>
  <c r="W61" i="19"/>
  <c r="Y41" i="19"/>
  <c r="Y45" i="19"/>
  <c r="Y49" i="19"/>
  <c r="Y53" i="19"/>
  <c r="O74" i="19"/>
  <c r="S74" i="19"/>
  <c r="Y66" i="19"/>
  <c r="Y70" i="19"/>
  <c r="Y78" i="19"/>
  <c r="Y88" i="19"/>
  <c r="Y150" i="19"/>
  <c r="Q139" i="18"/>
  <c r="I37" i="17"/>
  <c r="M37" i="17"/>
  <c r="Q37" i="17"/>
  <c r="U37" i="17"/>
  <c r="Y36" i="17"/>
  <c r="R139" i="18"/>
  <c r="Y20" i="19"/>
  <c r="Y24" i="19"/>
  <c r="Y59" i="19"/>
  <c r="H74" i="19"/>
  <c r="P74" i="19"/>
  <c r="P83" i="19" s="1"/>
  <c r="T74" i="19"/>
  <c r="T83" i="19" s="1"/>
  <c r="X74" i="19"/>
  <c r="W74" i="19"/>
  <c r="Y67" i="19"/>
  <c r="Y71" i="19"/>
  <c r="H82" i="19"/>
  <c r="P82" i="19"/>
  <c r="X82" i="19"/>
  <c r="Y90" i="19"/>
  <c r="Y108" i="19"/>
  <c r="U139" i="18"/>
  <c r="Y123" i="19"/>
  <c r="Z123" i="19" s="1"/>
  <c r="Y125" i="19"/>
  <c r="Z125" i="19" s="1"/>
  <c r="Y128" i="19"/>
  <c r="Z128" i="19" s="1"/>
  <c r="Y133" i="19"/>
  <c r="Z133" i="19" s="1"/>
  <c r="Y136" i="19"/>
  <c r="Z136" i="19" s="1"/>
  <c r="Y135" i="19"/>
  <c r="U139" i="19"/>
  <c r="P139" i="19"/>
  <c r="Y132" i="19"/>
  <c r="R139" i="19"/>
  <c r="V139" i="19"/>
  <c r="N139" i="19"/>
  <c r="T139" i="19"/>
  <c r="Y127" i="19"/>
  <c r="X139" i="19"/>
  <c r="Y120" i="19"/>
  <c r="Y124" i="19"/>
  <c r="Z124" i="19" s="1"/>
  <c r="M139" i="19"/>
  <c r="Y118" i="18"/>
  <c r="Z118" i="18" s="1"/>
  <c r="P139" i="18"/>
  <c r="T139" i="18"/>
  <c r="X139" i="18"/>
  <c r="Y131" i="19"/>
  <c r="Z135" i="19"/>
  <c r="H139" i="19"/>
  <c r="H139" i="18"/>
  <c r="H147" i="18"/>
  <c r="N83" i="18"/>
  <c r="H147" i="17"/>
  <c r="U83" i="17"/>
  <c r="M83" i="17"/>
  <c r="P61" i="19"/>
  <c r="T61" i="19"/>
  <c r="X61" i="19"/>
  <c r="M74" i="19"/>
  <c r="Q74" i="19"/>
  <c r="Y7" i="19"/>
  <c r="Y9" i="19"/>
  <c r="Y11" i="19"/>
  <c r="Y13" i="19"/>
  <c r="Y15" i="19"/>
  <c r="Y19" i="19"/>
  <c r="Z19" i="19" s="1"/>
  <c r="Y23" i="19"/>
  <c r="Y31" i="19"/>
  <c r="Z31" i="19" s="1"/>
  <c r="Y33" i="19"/>
  <c r="Z33" i="19" s="1"/>
  <c r="Y35" i="19"/>
  <c r="Z35" i="19" s="1"/>
  <c r="Y40" i="19"/>
  <c r="Y42" i="19"/>
  <c r="Y44" i="19"/>
  <c r="Y46" i="19"/>
  <c r="Y48" i="19"/>
  <c r="Y50" i="19"/>
  <c r="Y52" i="19"/>
  <c r="Y54" i="19"/>
  <c r="Y56" i="19"/>
  <c r="Y58" i="19"/>
  <c r="Y60" i="19"/>
  <c r="Y87" i="19"/>
  <c r="N25" i="19"/>
  <c r="N26" i="19" s="1"/>
  <c r="R25" i="19"/>
  <c r="R26" i="19" s="1"/>
  <c r="V25" i="19"/>
  <c r="V26" i="19" s="1"/>
  <c r="Y30" i="19"/>
  <c r="O82" i="19"/>
  <c r="S82" i="19"/>
  <c r="S83" i="19" s="1"/>
  <c r="W82" i="19"/>
  <c r="M82" i="19"/>
  <c r="U82" i="19"/>
  <c r="U83" i="19" s="1"/>
  <c r="Y77" i="19"/>
  <c r="Y79" i="19"/>
  <c r="Q139" i="19"/>
  <c r="Y121" i="19"/>
  <c r="Y129" i="19"/>
  <c r="Y137" i="19"/>
  <c r="Y64" i="19"/>
  <c r="Y91" i="19"/>
  <c r="Y99" i="19"/>
  <c r="Y104" i="19"/>
  <c r="Y107" i="19"/>
  <c r="Y112" i="19"/>
  <c r="Y115" i="19"/>
  <c r="O139" i="19"/>
  <c r="S139" i="19"/>
  <c r="W139" i="19"/>
  <c r="Y122" i="19"/>
  <c r="Y130" i="19"/>
  <c r="Y138" i="19"/>
  <c r="Y103" i="19"/>
  <c r="Y118" i="19"/>
  <c r="Y126" i="19"/>
  <c r="Y134" i="19"/>
  <c r="Y85" i="19"/>
  <c r="Z15" i="18"/>
  <c r="Z6" i="18"/>
  <c r="Y64" i="18"/>
  <c r="Y16" i="18"/>
  <c r="Y24" i="18"/>
  <c r="I61" i="18"/>
  <c r="Q61" i="18"/>
  <c r="U61" i="18"/>
  <c r="Z39" i="18"/>
  <c r="Y49" i="18"/>
  <c r="Y57" i="18"/>
  <c r="R83" i="18"/>
  <c r="Y67" i="18"/>
  <c r="Y77" i="18"/>
  <c r="Y11" i="18"/>
  <c r="Y30" i="18"/>
  <c r="AA30" i="13" s="1"/>
  <c r="Y34" i="18"/>
  <c r="J61" i="18"/>
  <c r="N61" i="18"/>
  <c r="N140" i="18" s="1"/>
  <c r="R61" i="18"/>
  <c r="V61" i="18"/>
  <c r="V140" i="18" s="1"/>
  <c r="Y44" i="18"/>
  <c r="Y47" i="18"/>
  <c r="Y52" i="18"/>
  <c r="Y55" i="18"/>
  <c r="Y60" i="18"/>
  <c r="Y65" i="18"/>
  <c r="Y70" i="18"/>
  <c r="Y73" i="18"/>
  <c r="Y78" i="18"/>
  <c r="Y12" i="18"/>
  <c r="Y20" i="18"/>
  <c r="H37" i="18"/>
  <c r="L37" i="18"/>
  <c r="P37" i="18"/>
  <c r="T37" i="18"/>
  <c r="X37" i="18"/>
  <c r="K61" i="18"/>
  <c r="O61" i="18"/>
  <c r="S61" i="18"/>
  <c r="W61" i="18"/>
  <c r="Y40" i="18"/>
  <c r="H74" i="18"/>
  <c r="H83" i="18" s="1"/>
  <c r="L74" i="18"/>
  <c r="L83" i="18" s="1"/>
  <c r="P74" i="18"/>
  <c r="P82" i="18"/>
  <c r="M61" i="18"/>
  <c r="K82" i="18"/>
  <c r="K83" i="18" s="1"/>
  <c r="O82" i="18"/>
  <c r="O83" i="18" s="1"/>
  <c r="S82" i="18"/>
  <c r="S83" i="18" s="1"/>
  <c r="W82" i="18"/>
  <c r="W83" i="18" s="1"/>
  <c r="Y80" i="18"/>
  <c r="Y119" i="18"/>
  <c r="Y127" i="18"/>
  <c r="Y135" i="18"/>
  <c r="Z142" i="18"/>
  <c r="I116" i="18"/>
  <c r="M116" i="18"/>
  <c r="Q116" i="18"/>
  <c r="U116" i="18"/>
  <c r="Y94" i="18"/>
  <c r="Y102" i="18"/>
  <c r="Y110" i="18"/>
  <c r="O139" i="18"/>
  <c r="S139" i="18"/>
  <c r="W139" i="18"/>
  <c r="Y122" i="18"/>
  <c r="Y125" i="18"/>
  <c r="Y130" i="18"/>
  <c r="Y133" i="18"/>
  <c r="Y138" i="18"/>
  <c r="T74" i="18"/>
  <c r="T83" i="18" s="1"/>
  <c r="X74" i="18"/>
  <c r="X83" i="18" s="1"/>
  <c r="Y76" i="18"/>
  <c r="AA76" i="13" s="1"/>
  <c r="Y89" i="18"/>
  <c r="Y92" i="18"/>
  <c r="Y97" i="18"/>
  <c r="Y100" i="18"/>
  <c r="Y105" i="18"/>
  <c r="Y108" i="18"/>
  <c r="Y113" i="18"/>
  <c r="M139" i="18"/>
  <c r="Y149" i="18"/>
  <c r="Y85" i="18"/>
  <c r="Z15" i="17"/>
  <c r="Y32" i="17"/>
  <c r="AA32" i="13" s="1"/>
  <c r="Y64" i="17"/>
  <c r="Z118" i="17"/>
  <c r="Y41" i="17"/>
  <c r="Z41" i="17" s="1"/>
  <c r="Y49" i="17"/>
  <c r="Z49" i="17" s="1"/>
  <c r="Y57" i="17"/>
  <c r="Z57" i="17" s="1"/>
  <c r="R83" i="17"/>
  <c r="Y67" i="17"/>
  <c r="Z67" i="17" s="1"/>
  <c r="Z77" i="17"/>
  <c r="Y6" i="17"/>
  <c r="Y12" i="17"/>
  <c r="Z12" i="17" s="1"/>
  <c r="Y20" i="17"/>
  <c r="Z20" i="17" s="1"/>
  <c r="J37" i="17"/>
  <c r="N37" i="17"/>
  <c r="R37" i="17"/>
  <c r="V37" i="17"/>
  <c r="H37" i="17"/>
  <c r="L37" i="17"/>
  <c r="P37" i="17"/>
  <c r="T37" i="17"/>
  <c r="X37" i="17"/>
  <c r="I61" i="17"/>
  <c r="Y39" i="17"/>
  <c r="AA39" i="13" s="1"/>
  <c r="Q61" i="17"/>
  <c r="U61" i="17"/>
  <c r="Y44" i="17"/>
  <c r="Z44" i="17" s="1"/>
  <c r="Y47" i="17"/>
  <c r="Z47" i="17" s="1"/>
  <c r="Y52" i="17"/>
  <c r="Z52" i="17" s="1"/>
  <c r="Y55" i="17"/>
  <c r="Z55" i="17" s="1"/>
  <c r="Y60" i="17"/>
  <c r="Z60" i="17" s="1"/>
  <c r="Y65" i="17"/>
  <c r="Z65" i="17" s="1"/>
  <c r="Y70" i="17"/>
  <c r="Z70" i="17" s="1"/>
  <c r="Y73" i="17"/>
  <c r="Z73" i="17" s="1"/>
  <c r="Z78" i="17"/>
  <c r="K37" i="17"/>
  <c r="O37" i="17"/>
  <c r="S37" i="17"/>
  <c r="W37" i="17"/>
  <c r="Y31" i="17"/>
  <c r="Y35" i="17"/>
  <c r="J61" i="17"/>
  <c r="N61" i="17"/>
  <c r="R61" i="17"/>
  <c r="V61" i="17"/>
  <c r="H74" i="17"/>
  <c r="H83" i="17" s="1"/>
  <c r="L74" i="17"/>
  <c r="L83" i="17" s="1"/>
  <c r="P74" i="17"/>
  <c r="P82" i="17"/>
  <c r="M61" i="17"/>
  <c r="K82" i="17"/>
  <c r="K83" i="17" s="1"/>
  <c r="O82" i="17"/>
  <c r="O83" i="17" s="1"/>
  <c r="S82" i="17"/>
  <c r="S83" i="17" s="1"/>
  <c r="W82" i="17"/>
  <c r="W83" i="17" s="1"/>
  <c r="Z80" i="17"/>
  <c r="Y119" i="17"/>
  <c r="Z119" i="17" s="1"/>
  <c r="Y127" i="17"/>
  <c r="Z127" i="17" s="1"/>
  <c r="Y135" i="17"/>
  <c r="Z135" i="17" s="1"/>
  <c r="Z142" i="17"/>
  <c r="I116" i="17"/>
  <c r="M116" i="17"/>
  <c r="Q116" i="17"/>
  <c r="U116" i="17"/>
  <c r="Y94" i="17"/>
  <c r="Z94" i="17" s="1"/>
  <c r="Y102" i="17"/>
  <c r="Z102" i="17" s="1"/>
  <c r="Y110" i="17"/>
  <c r="Z110" i="17" s="1"/>
  <c r="K139" i="17"/>
  <c r="O139" i="17"/>
  <c r="S139" i="17"/>
  <c r="W139" i="17"/>
  <c r="Y122" i="17"/>
  <c r="Z122" i="17" s="1"/>
  <c r="Y125" i="17"/>
  <c r="Z125" i="17" s="1"/>
  <c r="Y130" i="17"/>
  <c r="Z130" i="17" s="1"/>
  <c r="Y133" i="17"/>
  <c r="Z133" i="17" s="1"/>
  <c r="Y138" i="17"/>
  <c r="Z138" i="17" s="1"/>
  <c r="T74" i="17"/>
  <c r="T83" i="17" s="1"/>
  <c r="X74" i="17"/>
  <c r="X83" i="17" s="1"/>
  <c r="Y89" i="17"/>
  <c r="Z89" i="17" s="1"/>
  <c r="Y92" i="17"/>
  <c r="Z92" i="17" s="1"/>
  <c r="Y97" i="17"/>
  <c r="Z97" i="17" s="1"/>
  <c r="Y100" i="17"/>
  <c r="Z100" i="17" s="1"/>
  <c r="Y105" i="17"/>
  <c r="Z105" i="17" s="1"/>
  <c r="Y108" i="17"/>
  <c r="Z108" i="17" s="1"/>
  <c r="Y113" i="17"/>
  <c r="Z113" i="17" s="1"/>
  <c r="M139" i="17"/>
  <c r="Y149" i="17"/>
  <c r="Y85" i="17"/>
  <c r="O4" i="10"/>
  <c r="P4" i="10" s="1"/>
  <c r="Q4" i="10" s="1"/>
  <c r="N4" i="10"/>
  <c r="M22" i="1"/>
  <c r="H57" i="19" s="1"/>
  <c r="M25" i="6"/>
  <c r="AA149" i="13" l="1"/>
  <c r="AA31" i="13"/>
  <c r="AA35" i="13"/>
  <c r="H26" i="19"/>
  <c r="B15" i="23"/>
  <c r="Z153" i="22"/>
  <c r="Y155" i="22"/>
  <c r="E9" i="23"/>
  <c r="E10" i="23" s="1"/>
  <c r="B63" i="21"/>
  <c r="C62" i="21" s="1"/>
  <c r="Z89" i="18"/>
  <c r="AA89" i="13"/>
  <c r="Z110" i="18"/>
  <c r="AA110" i="13"/>
  <c r="Z12" i="18"/>
  <c r="AA12" i="13"/>
  <c r="Z47" i="18"/>
  <c r="AA47" i="13"/>
  <c r="Z57" i="18"/>
  <c r="AA57" i="13"/>
  <c r="Z100" i="18"/>
  <c r="AA100" i="13"/>
  <c r="Z133" i="18"/>
  <c r="AA133" i="13"/>
  <c r="Z102" i="18"/>
  <c r="AA102" i="13"/>
  <c r="Z127" i="18"/>
  <c r="AA127" i="13"/>
  <c r="Z40" i="18"/>
  <c r="AA40" i="13"/>
  <c r="Z78" i="18"/>
  <c r="AA78" i="13"/>
  <c r="Z60" i="18"/>
  <c r="AA60" i="13"/>
  <c r="Z44" i="18"/>
  <c r="AA44" i="13"/>
  <c r="Z77" i="18"/>
  <c r="AA77" i="13"/>
  <c r="Z49" i="18"/>
  <c r="AA49" i="13"/>
  <c r="AA41" i="13"/>
  <c r="Z138" i="18"/>
  <c r="Z135" i="18"/>
  <c r="AA135" i="13"/>
  <c r="Z65" i="18"/>
  <c r="AA65" i="13"/>
  <c r="AA64" i="13"/>
  <c r="Z113" i="18"/>
  <c r="AA113" i="13"/>
  <c r="Z97" i="18"/>
  <c r="Z130" i="18"/>
  <c r="Z94" i="18"/>
  <c r="Z73" i="18"/>
  <c r="AA73" i="13"/>
  <c r="Z55" i="18"/>
  <c r="AA55" i="13"/>
  <c r="Z34" i="18"/>
  <c r="AA34" i="13"/>
  <c r="Z67" i="18"/>
  <c r="AA67" i="13"/>
  <c r="Z24" i="18"/>
  <c r="AA24" i="13"/>
  <c r="AA150" i="13"/>
  <c r="Z105" i="18"/>
  <c r="AA105" i="13"/>
  <c r="Z122" i="18"/>
  <c r="Z11" i="18"/>
  <c r="AA11" i="13"/>
  <c r="AA85" i="13"/>
  <c r="Z108" i="18"/>
  <c r="AA108" i="13"/>
  <c r="Z92" i="18"/>
  <c r="AA92" i="13"/>
  <c r="Z125" i="18"/>
  <c r="AA125" i="13"/>
  <c r="Z80" i="18"/>
  <c r="AA80" i="13"/>
  <c r="Z20" i="18"/>
  <c r="AA20" i="13"/>
  <c r="Z70" i="18"/>
  <c r="AA70" i="13"/>
  <c r="Z52" i="18"/>
  <c r="AA52" i="13"/>
  <c r="Z16" i="18"/>
  <c r="AA16" i="13"/>
  <c r="N83" i="19"/>
  <c r="Z57" i="19"/>
  <c r="I140" i="17"/>
  <c r="U140" i="18"/>
  <c r="V83" i="19"/>
  <c r="O83" i="19"/>
  <c r="X83" i="19"/>
  <c r="W83" i="19"/>
  <c r="Q83" i="19"/>
  <c r="Z30" i="19"/>
  <c r="Y37" i="19"/>
  <c r="Z30" i="18"/>
  <c r="Y37" i="18"/>
  <c r="H83" i="19"/>
  <c r="Z50" i="19"/>
  <c r="Z7" i="19"/>
  <c r="Z90" i="19"/>
  <c r="Z53" i="19"/>
  <c r="Z14" i="19"/>
  <c r="Z55" i="19"/>
  <c r="Z32" i="17"/>
  <c r="Z112" i="19"/>
  <c r="Z56" i="19"/>
  <c r="Z48" i="19"/>
  <c r="Z13" i="19"/>
  <c r="Z67" i="19"/>
  <c r="Z20" i="19"/>
  <c r="Z66" i="19"/>
  <c r="Z49" i="19"/>
  <c r="Z10" i="19"/>
  <c r="Z109" i="19"/>
  <c r="Z80" i="19"/>
  <c r="Z72" i="19"/>
  <c r="Z51" i="19"/>
  <c r="Z21" i="19"/>
  <c r="Z115" i="19"/>
  <c r="Z58" i="19"/>
  <c r="Z42" i="19"/>
  <c r="Z71" i="19"/>
  <c r="Z36" i="17"/>
  <c r="Z70" i="19"/>
  <c r="Z76" i="19"/>
  <c r="Z39" i="19"/>
  <c r="Z35" i="17"/>
  <c r="Z107" i="19"/>
  <c r="Z91" i="19"/>
  <c r="Z87" i="19"/>
  <c r="Z54" i="19"/>
  <c r="Z46" i="19"/>
  <c r="Z23" i="19"/>
  <c r="Z11" i="19"/>
  <c r="Z108" i="19"/>
  <c r="Z88" i="19"/>
  <c r="Z45" i="19"/>
  <c r="Z105" i="19"/>
  <c r="Z68" i="19"/>
  <c r="Z47" i="19"/>
  <c r="Z16" i="19"/>
  <c r="Z33" i="17"/>
  <c r="Z103" i="19"/>
  <c r="Z99" i="19"/>
  <c r="Z79" i="19"/>
  <c r="Z24" i="19"/>
  <c r="Z150" i="19"/>
  <c r="Z31" i="17"/>
  <c r="Z119" i="18"/>
  <c r="Z104" i="19"/>
  <c r="Z60" i="19"/>
  <c r="Z52" i="19"/>
  <c r="Z44" i="19"/>
  <c r="Z9" i="19"/>
  <c r="Z59" i="19"/>
  <c r="Z78" i="19"/>
  <c r="Z41" i="19"/>
  <c r="Z18" i="19"/>
  <c r="Y37" i="17"/>
  <c r="Z101" i="19"/>
  <c r="Z43" i="19"/>
  <c r="Z12" i="19"/>
  <c r="H61" i="19"/>
  <c r="Z137" i="19"/>
  <c r="Z138" i="19"/>
  <c r="Z134" i="19"/>
  <c r="Z132" i="19"/>
  <c r="Z130" i="19"/>
  <c r="Z121" i="19"/>
  <c r="Z126" i="19"/>
  <c r="Z122" i="19"/>
  <c r="Z120" i="19"/>
  <c r="Z129" i="19"/>
  <c r="Z127" i="19"/>
  <c r="Z131" i="19"/>
  <c r="W140" i="18"/>
  <c r="Q140" i="18"/>
  <c r="M140" i="18"/>
  <c r="R140" i="18"/>
  <c r="O140" i="18"/>
  <c r="T140" i="18"/>
  <c r="J140" i="17"/>
  <c r="H140" i="17"/>
  <c r="H155" i="17" s="1"/>
  <c r="D16" i="23" s="1"/>
  <c r="Q140" i="17"/>
  <c r="U140" i="17"/>
  <c r="M140" i="17"/>
  <c r="P83" i="17"/>
  <c r="P140" i="17" s="1"/>
  <c r="Y83" i="17"/>
  <c r="Z83" i="17" s="1"/>
  <c r="Z77" i="19"/>
  <c r="Y82" i="19"/>
  <c r="Z40" i="19"/>
  <c r="Y61" i="19"/>
  <c r="Z15" i="19"/>
  <c r="Z118" i="19"/>
  <c r="Y139" i="19"/>
  <c r="Y74" i="19"/>
  <c r="Z64" i="19"/>
  <c r="M83" i="19"/>
  <c r="Z85" i="19"/>
  <c r="S140" i="18"/>
  <c r="Y139" i="18"/>
  <c r="Y61" i="18"/>
  <c r="Z64" i="18"/>
  <c r="Y74" i="18"/>
  <c r="Y151" i="18"/>
  <c r="Z149" i="18"/>
  <c r="Y116" i="18"/>
  <c r="Z85" i="18"/>
  <c r="Z76" i="18"/>
  <c r="Y82" i="18"/>
  <c r="P83" i="18"/>
  <c r="Y83" i="18" s="1"/>
  <c r="X140" i="18"/>
  <c r="H140" i="18"/>
  <c r="H155" i="18" s="1"/>
  <c r="X140" i="17"/>
  <c r="S140" i="17"/>
  <c r="T140" i="17"/>
  <c r="V140" i="17"/>
  <c r="Z64" i="17"/>
  <c r="Y74" i="17"/>
  <c r="Z74" i="17" s="1"/>
  <c r="Y151" i="17"/>
  <c r="Z151" i="17" s="1"/>
  <c r="Z149" i="17"/>
  <c r="O140" i="17"/>
  <c r="Y61" i="17"/>
  <c r="Z61" i="17" s="1"/>
  <c r="Z39" i="17"/>
  <c r="R140" i="17"/>
  <c r="W140" i="17"/>
  <c r="Y116" i="17"/>
  <c r="Z116" i="17" s="1"/>
  <c r="Z85" i="17"/>
  <c r="Z76" i="17"/>
  <c r="Y82" i="17"/>
  <c r="Z82" i="17" s="1"/>
  <c r="K140" i="17"/>
  <c r="L140" i="17"/>
  <c r="N140" i="17"/>
  <c r="Z6" i="17"/>
  <c r="Y139" i="17"/>
  <c r="Z139" i="17" s="1"/>
  <c r="N11" i="3"/>
  <c r="O11" i="3" s="1"/>
  <c r="P11" i="3" s="1"/>
  <c r="Q11" i="3" s="1"/>
  <c r="N9" i="3"/>
  <c r="O9" i="3" s="1"/>
  <c r="P9" i="3" s="1"/>
  <c r="Q9" i="3" s="1"/>
  <c r="N6" i="3"/>
  <c r="I144" i="19" s="1"/>
  <c r="N13" i="5"/>
  <c r="O13" i="5" s="1"/>
  <c r="P13" i="5" s="1"/>
  <c r="Q13" i="5" s="1"/>
  <c r="P12" i="5"/>
  <c r="Q12" i="5" s="1"/>
  <c r="O12" i="5"/>
  <c r="N12" i="5"/>
  <c r="N9" i="14"/>
  <c r="O9" i="14" s="1"/>
  <c r="P9" i="14" s="1"/>
  <c r="Q9" i="14" s="1"/>
  <c r="N8" i="14"/>
  <c r="O8" i="14" s="1"/>
  <c r="P8" i="14" s="1"/>
  <c r="Q8" i="14" s="1"/>
  <c r="O7" i="14"/>
  <c r="P7" i="14" s="1"/>
  <c r="Q7" i="14" s="1"/>
  <c r="N7" i="14"/>
  <c r="N5" i="14"/>
  <c r="I7" i="19" s="1"/>
  <c r="O16" i="14"/>
  <c r="P16" i="14" s="1"/>
  <c r="Q16" i="14" s="1"/>
  <c r="N16" i="14"/>
  <c r="N22" i="14"/>
  <c r="O22" i="14" s="1"/>
  <c r="P22" i="14" s="1"/>
  <c r="Q22" i="14" s="1"/>
  <c r="N21" i="14"/>
  <c r="O21" i="14" s="1"/>
  <c r="P21" i="14" s="1"/>
  <c r="Q21" i="14" s="1"/>
  <c r="N19" i="14"/>
  <c r="O19" i="14" s="1"/>
  <c r="P19" i="14" s="1"/>
  <c r="Q19" i="14" s="1"/>
  <c r="N18" i="14"/>
  <c r="O18" i="14" s="1"/>
  <c r="P18" i="14" s="1"/>
  <c r="Q18" i="14" s="1"/>
  <c r="N15" i="14"/>
  <c r="O15" i="14" s="1"/>
  <c r="P15" i="14" s="1"/>
  <c r="Q15" i="14" s="1"/>
  <c r="O14" i="14"/>
  <c r="P14" i="14" s="1"/>
  <c r="Q14" i="14" s="1"/>
  <c r="N14" i="14"/>
  <c r="O13" i="14"/>
  <c r="P13" i="14" s="1"/>
  <c r="Q13" i="14" s="1"/>
  <c r="N13" i="14"/>
  <c r="O12" i="14"/>
  <c r="P12" i="14" s="1"/>
  <c r="Q12" i="14" s="1"/>
  <c r="N12" i="14"/>
  <c r="P11" i="14"/>
  <c r="Q11" i="14" s="1"/>
  <c r="O11" i="14"/>
  <c r="N11" i="14"/>
  <c r="O10" i="14"/>
  <c r="P10" i="14" s="1"/>
  <c r="Q10" i="14" s="1"/>
  <c r="N10" i="14"/>
  <c r="P5" i="8"/>
  <c r="Q5" i="8" s="1"/>
  <c r="O5" i="8"/>
  <c r="N5" i="8"/>
  <c r="M4" i="8"/>
  <c r="H149" i="19" s="1"/>
  <c r="H151" i="19" s="1"/>
  <c r="M30" i="6"/>
  <c r="M32" i="6"/>
  <c r="H113" i="19" s="1"/>
  <c r="O34" i="6"/>
  <c r="P34" i="6" s="1"/>
  <c r="Q34" i="6" s="1"/>
  <c r="N34" i="6"/>
  <c r="O31" i="6"/>
  <c r="P31" i="6" s="1"/>
  <c r="Q31" i="6" s="1"/>
  <c r="N31" i="6"/>
  <c r="O29" i="6"/>
  <c r="P29" i="6" s="1"/>
  <c r="Q29" i="6" s="1"/>
  <c r="N29" i="6"/>
  <c r="N28" i="6"/>
  <c r="O28" i="6" s="1"/>
  <c r="P28" i="6" s="1"/>
  <c r="Q28" i="6" s="1"/>
  <c r="P27" i="6"/>
  <c r="Q27" i="6" s="1"/>
  <c r="O27" i="6"/>
  <c r="N27" i="6"/>
  <c r="P24" i="6"/>
  <c r="Q24" i="6" s="1"/>
  <c r="O24" i="6"/>
  <c r="N24" i="6"/>
  <c r="O23" i="6"/>
  <c r="P23" i="6" s="1"/>
  <c r="Q23" i="6" s="1"/>
  <c r="N23" i="6"/>
  <c r="P26" i="6"/>
  <c r="Q26" i="6" s="1"/>
  <c r="O26" i="6"/>
  <c r="N26" i="6"/>
  <c r="O17" i="6"/>
  <c r="J98" i="19" s="1"/>
  <c r="N17" i="6"/>
  <c r="I98" i="19" s="1"/>
  <c r="N9" i="4"/>
  <c r="A2" i="1"/>
  <c r="A2" i="4"/>
  <c r="A2" i="5"/>
  <c r="A2" i="6"/>
  <c r="A2" i="10"/>
  <c r="N21" i="10" s="1"/>
  <c r="A2" i="8"/>
  <c r="O4" i="8" s="1"/>
  <c r="J149" i="19" s="1"/>
  <c r="J151" i="19" s="1"/>
  <c r="A2" i="9"/>
  <c r="A2" i="3"/>
  <c r="A2" i="14"/>
  <c r="A1" i="1"/>
  <c r="A1" i="4"/>
  <c r="A1" i="5"/>
  <c r="N7" i="5" s="1"/>
  <c r="A1" i="6"/>
  <c r="A1" i="10"/>
  <c r="A1" i="8"/>
  <c r="A1" i="9"/>
  <c r="A1" i="3"/>
  <c r="A1" i="14"/>
  <c r="H156" i="18" l="1"/>
  <c r="H157" i="18" s="1"/>
  <c r="C16" i="23"/>
  <c r="C17" i="23" s="1"/>
  <c r="Z155" i="22"/>
  <c r="Y156" i="22"/>
  <c r="Z139" i="18"/>
  <c r="Z74" i="18"/>
  <c r="AA74" i="13"/>
  <c r="Z151" i="18"/>
  <c r="AA151" i="13"/>
  <c r="Z83" i="18"/>
  <c r="AA83" i="13"/>
  <c r="Z116" i="18"/>
  <c r="AA37" i="13"/>
  <c r="Z82" i="18"/>
  <c r="AA82" i="13"/>
  <c r="Z61" i="18"/>
  <c r="AA61" i="13"/>
  <c r="P17" i="6"/>
  <c r="N25" i="6"/>
  <c r="I106" i="19" s="1"/>
  <c r="M8" i="6"/>
  <c r="Q17" i="6"/>
  <c r="L98" i="19" s="1"/>
  <c r="K98" i="19"/>
  <c r="H111" i="19"/>
  <c r="N6" i="14"/>
  <c r="O6" i="14" s="1"/>
  <c r="P6" i="14" s="1"/>
  <c r="Q6" i="14" s="1"/>
  <c r="N17" i="14"/>
  <c r="N20" i="14" s="1"/>
  <c r="P140" i="18"/>
  <c r="Y140" i="18" s="1"/>
  <c r="Z74" i="19"/>
  <c r="Z82" i="19"/>
  <c r="O5" i="14"/>
  <c r="Z61" i="19"/>
  <c r="P4" i="8"/>
  <c r="K149" i="19" s="1"/>
  <c r="K151" i="19" s="1"/>
  <c r="O7" i="5"/>
  <c r="I67" i="19"/>
  <c r="N6" i="10"/>
  <c r="N17" i="10"/>
  <c r="N13" i="10"/>
  <c r="N9" i="10"/>
  <c r="N24" i="10"/>
  <c r="N20" i="10"/>
  <c r="N12" i="10"/>
  <c r="N8" i="10"/>
  <c r="N23" i="10"/>
  <c r="N19" i="10"/>
  <c r="N15" i="10"/>
  <c r="N11" i="10"/>
  <c r="N22" i="10"/>
  <c r="N18" i="10"/>
  <c r="N14" i="10"/>
  <c r="N10" i="10"/>
  <c r="I93" i="19"/>
  <c r="I135" i="19"/>
  <c r="O21" i="10"/>
  <c r="O6" i="3"/>
  <c r="Z139" i="19"/>
  <c r="Z37" i="19"/>
  <c r="Y83" i="19"/>
  <c r="Z37" i="18"/>
  <c r="Z37" i="17"/>
  <c r="Y140" i="17"/>
  <c r="N11" i="6"/>
  <c r="Q4" i="8"/>
  <c r="L149" i="19" s="1"/>
  <c r="L151" i="19" s="1"/>
  <c r="N4" i="8"/>
  <c r="I149" i="19" s="1"/>
  <c r="I151" i="19" s="1"/>
  <c r="N11" i="8"/>
  <c r="X149" i="19" s="1"/>
  <c r="X151" i="19" s="1"/>
  <c r="K11" i="3"/>
  <c r="K9" i="3"/>
  <c r="K8" i="3"/>
  <c r="K7" i="3"/>
  <c r="K6" i="3"/>
  <c r="K5" i="3"/>
  <c r="K4" i="3"/>
  <c r="B30" i="21" l="1"/>
  <c r="B36" i="21" s="1"/>
  <c r="C9" i="23" s="1"/>
  <c r="C10" i="23" s="1"/>
  <c r="I8" i="18"/>
  <c r="I25" i="18" s="1"/>
  <c r="I26" i="18" s="1"/>
  <c r="Y157" i="22"/>
  <c r="Z157" i="22" s="1"/>
  <c r="Z156" i="22"/>
  <c r="B38" i="21"/>
  <c r="C37" i="21" s="1"/>
  <c r="O25" i="6"/>
  <c r="I146" i="18"/>
  <c r="C32" i="21" s="1"/>
  <c r="I143" i="18"/>
  <c r="Z83" i="19"/>
  <c r="P5" i="14"/>
  <c r="J7" i="19"/>
  <c r="O11" i="6"/>
  <c r="I92" i="19"/>
  <c r="O10" i="10"/>
  <c r="I124" i="19"/>
  <c r="O11" i="10"/>
  <c r="I125" i="19"/>
  <c r="I122" i="19"/>
  <c r="O8" i="10"/>
  <c r="I138" i="19"/>
  <c r="O24" i="10"/>
  <c r="O6" i="10"/>
  <c r="I120" i="19"/>
  <c r="J146" i="18"/>
  <c r="D32" i="21" s="1"/>
  <c r="J8" i="18"/>
  <c r="J25" i="18" s="1"/>
  <c r="J26" i="18" s="1"/>
  <c r="J143" i="18"/>
  <c r="O22" i="10"/>
  <c r="I136" i="19"/>
  <c r="I134" i="19"/>
  <c r="O20" i="10"/>
  <c r="I131" i="19"/>
  <c r="O17" i="10"/>
  <c r="O14" i="10"/>
  <c r="I128" i="19"/>
  <c r="O15" i="10"/>
  <c r="I129" i="19"/>
  <c r="I126" i="19"/>
  <c r="O12" i="10"/>
  <c r="I123" i="19"/>
  <c r="O9" i="10"/>
  <c r="O17" i="14"/>
  <c r="O20" i="14" s="1"/>
  <c r="I146" i="17"/>
  <c r="C45" i="21" s="1"/>
  <c r="I143" i="17"/>
  <c r="I19" i="17"/>
  <c r="P25" i="6"/>
  <c r="J106" i="19"/>
  <c r="P21" i="10"/>
  <c r="J135" i="19"/>
  <c r="O23" i="10"/>
  <c r="I137" i="19"/>
  <c r="J144" i="19"/>
  <c r="P6" i="3"/>
  <c r="J93" i="19"/>
  <c r="O18" i="10"/>
  <c r="I132" i="19"/>
  <c r="O19" i="10"/>
  <c r="I133" i="19"/>
  <c r="I130" i="19"/>
  <c r="I127" i="19"/>
  <c r="O13" i="10"/>
  <c r="P7" i="5"/>
  <c r="J67" i="19"/>
  <c r="Z140" i="18"/>
  <c r="Z140" i="17"/>
  <c r="I11" i="8"/>
  <c r="S149" i="19" s="1"/>
  <c r="S151" i="19" s="1"/>
  <c r="C11" i="8"/>
  <c r="M149" i="19" s="1"/>
  <c r="K11" i="8"/>
  <c r="U149" i="19" s="1"/>
  <c r="U151" i="19" s="1"/>
  <c r="E11" i="8"/>
  <c r="O149" i="19" s="1"/>
  <c r="O151" i="19" s="1"/>
  <c r="M11" i="8"/>
  <c r="W149" i="19" s="1"/>
  <c r="W151" i="19" s="1"/>
  <c r="G11" i="8"/>
  <c r="Q149" i="19" s="1"/>
  <c r="Q151" i="19" s="1"/>
  <c r="D11" i="8"/>
  <c r="N149" i="19" s="1"/>
  <c r="N151" i="19" s="1"/>
  <c r="H11" i="8"/>
  <c r="R149" i="19" s="1"/>
  <c r="R151" i="19" s="1"/>
  <c r="L11" i="8"/>
  <c r="V149" i="19" s="1"/>
  <c r="V151" i="19" s="1"/>
  <c r="F11" i="8"/>
  <c r="P149" i="19" s="1"/>
  <c r="P151" i="19" s="1"/>
  <c r="J11" i="8"/>
  <c r="T149" i="19" s="1"/>
  <c r="T151" i="19" s="1"/>
  <c r="N24" i="1"/>
  <c r="N4" i="3"/>
  <c r="I147" i="18" l="1"/>
  <c r="Q5" i="14"/>
  <c r="L7" i="19" s="1"/>
  <c r="K7" i="19"/>
  <c r="I147" i="17"/>
  <c r="I155" i="17" s="1"/>
  <c r="Q7" i="5"/>
  <c r="L67" i="19" s="1"/>
  <c r="K67" i="19"/>
  <c r="I139" i="19"/>
  <c r="O24" i="1"/>
  <c r="I59" i="19"/>
  <c r="J133" i="19"/>
  <c r="P19" i="10"/>
  <c r="L93" i="19"/>
  <c r="K93" i="19"/>
  <c r="P23" i="10"/>
  <c r="J137" i="19"/>
  <c r="Q25" i="6"/>
  <c r="L106" i="19" s="1"/>
  <c r="K106" i="19"/>
  <c r="P17" i="14"/>
  <c r="P20" i="14" s="1"/>
  <c r="J146" i="17"/>
  <c r="D45" i="21" s="1"/>
  <c r="J143" i="17"/>
  <c r="J19" i="17"/>
  <c r="J126" i="19"/>
  <c r="P12" i="10"/>
  <c r="J134" i="19"/>
  <c r="P20" i="10"/>
  <c r="J147" i="18"/>
  <c r="J122" i="19"/>
  <c r="P8" i="10"/>
  <c r="P17" i="10"/>
  <c r="J131" i="19"/>
  <c r="J130" i="19"/>
  <c r="P16" i="10"/>
  <c r="Q6" i="3"/>
  <c r="L144" i="19" s="1"/>
  <c r="K144" i="19"/>
  <c r="P14" i="10"/>
  <c r="J128" i="19"/>
  <c r="P6" i="10"/>
  <c r="J120" i="19"/>
  <c r="J124" i="19"/>
  <c r="P10" i="10"/>
  <c r="M151" i="19"/>
  <c r="Y149" i="19"/>
  <c r="J132" i="19"/>
  <c r="P18" i="10"/>
  <c r="Q21" i="10"/>
  <c r="L135" i="19" s="1"/>
  <c r="K135" i="19"/>
  <c r="P9" i="10"/>
  <c r="J123" i="19"/>
  <c r="J138" i="19"/>
  <c r="P24" i="10"/>
  <c r="O4" i="3"/>
  <c r="I142" i="19"/>
  <c r="J127" i="19"/>
  <c r="P13" i="10"/>
  <c r="P15" i="10"/>
  <c r="J129" i="19"/>
  <c r="P22" i="10"/>
  <c r="J136" i="19"/>
  <c r="K146" i="18"/>
  <c r="E32" i="21" s="1"/>
  <c r="K143" i="18"/>
  <c r="K8" i="18"/>
  <c r="K25" i="18" s="1"/>
  <c r="K26" i="18" s="1"/>
  <c r="J125" i="19"/>
  <c r="P11" i="10"/>
  <c r="P11" i="6"/>
  <c r="J92" i="19"/>
  <c r="N32" i="6"/>
  <c r="N22" i="1"/>
  <c r="N15" i="1"/>
  <c r="N20" i="1"/>
  <c r="N13" i="1"/>
  <c r="N10" i="1"/>
  <c r="N6" i="1"/>
  <c r="N4" i="1"/>
  <c r="N14" i="1"/>
  <c r="N7" i="4"/>
  <c r="N6" i="4"/>
  <c r="N4" i="4"/>
  <c r="N33" i="6"/>
  <c r="N7" i="6"/>
  <c r="N5" i="6"/>
  <c r="N14" i="6"/>
  <c r="N4" i="6"/>
  <c r="N6" i="6"/>
  <c r="N10" i="6"/>
  <c r="N10" i="5"/>
  <c r="N9" i="5"/>
  <c r="N11" i="5"/>
  <c r="N8" i="5"/>
  <c r="N11" i="1"/>
  <c r="N9" i="1"/>
  <c r="N15" i="6"/>
  <c r="J147" i="17" l="1"/>
  <c r="J155" i="17" s="1"/>
  <c r="K147" i="18"/>
  <c r="O9" i="5"/>
  <c r="I69" i="19"/>
  <c r="Q6" i="10"/>
  <c r="L120" i="19" s="1"/>
  <c r="K120" i="19"/>
  <c r="Q8" i="10"/>
  <c r="L122" i="19" s="1"/>
  <c r="K122" i="19"/>
  <c r="P24" i="1"/>
  <c r="J59" i="19"/>
  <c r="O11" i="1"/>
  <c r="I46" i="19"/>
  <c r="O10" i="5"/>
  <c r="I70" i="19"/>
  <c r="O14" i="6"/>
  <c r="I95" i="19"/>
  <c r="O4" i="4"/>
  <c r="I76" i="19"/>
  <c r="O4" i="1"/>
  <c r="I39" i="19"/>
  <c r="O20" i="1"/>
  <c r="I55" i="19"/>
  <c r="N8" i="6"/>
  <c r="H89" i="19"/>
  <c r="Q11" i="10"/>
  <c r="L125" i="19" s="1"/>
  <c r="K125" i="19"/>
  <c r="Q18" i="10"/>
  <c r="L132" i="19" s="1"/>
  <c r="K132" i="19"/>
  <c r="Q10" i="10"/>
  <c r="L124" i="19" s="1"/>
  <c r="K124" i="19"/>
  <c r="Q12" i="10"/>
  <c r="L126" i="19" s="1"/>
  <c r="K126" i="19"/>
  <c r="Q19" i="10"/>
  <c r="L133" i="19" s="1"/>
  <c r="K133" i="19"/>
  <c r="O9" i="1"/>
  <c r="I44" i="19"/>
  <c r="O33" i="6"/>
  <c r="I114" i="19"/>
  <c r="O14" i="1"/>
  <c r="I49" i="19"/>
  <c r="O32" i="6"/>
  <c r="I113" i="19"/>
  <c r="Q22" i="10"/>
  <c r="L136" i="19" s="1"/>
  <c r="K136" i="19"/>
  <c r="O10" i="6"/>
  <c r="I91" i="19"/>
  <c r="O6" i="4"/>
  <c r="J78" i="13" s="1"/>
  <c r="I78" i="19"/>
  <c r="O15" i="1"/>
  <c r="I50" i="19"/>
  <c r="Q15" i="10"/>
  <c r="L129" i="19" s="1"/>
  <c r="K129" i="19"/>
  <c r="K123" i="19"/>
  <c r="Q9" i="10"/>
  <c r="L123" i="19" s="1"/>
  <c r="K128" i="19"/>
  <c r="Q14" i="10"/>
  <c r="L128" i="19" s="1"/>
  <c r="Q17" i="10"/>
  <c r="L131" i="19" s="1"/>
  <c r="K131" i="19"/>
  <c r="Q17" i="14"/>
  <c r="Q20" i="14" s="1"/>
  <c r="K143" i="17"/>
  <c r="K146" i="17"/>
  <c r="E45" i="21" s="1"/>
  <c r="K19" i="17"/>
  <c r="O4" i="6"/>
  <c r="I85" i="19"/>
  <c r="O13" i="1"/>
  <c r="I48" i="19"/>
  <c r="Q11" i="6"/>
  <c r="L92" i="19" s="1"/>
  <c r="K92" i="19"/>
  <c r="O8" i="5"/>
  <c r="I68" i="19"/>
  <c r="O5" i="6"/>
  <c r="I86" i="19"/>
  <c r="O6" i="1"/>
  <c r="I41" i="19"/>
  <c r="L146" i="18"/>
  <c r="F32" i="21" s="1"/>
  <c r="L143" i="18"/>
  <c r="L8" i="18"/>
  <c r="L25" i="18" s="1"/>
  <c r="L26" i="18" s="1"/>
  <c r="P4" i="3"/>
  <c r="K142" i="13" s="1"/>
  <c r="J142" i="19"/>
  <c r="Q16" i="10"/>
  <c r="L130" i="19" s="1"/>
  <c r="K130" i="19"/>
  <c r="K137" i="19"/>
  <c r="Q23" i="10"/>
  <c r="L137" i="19" s="1"/>
  <c r="O15" i="6"/>
  <c r="I96" i="19"/>
  <c r="O11" i="5"/>
  <c r="I71" i="19"/>
  <c r="O6" i="6"/>
  <c r="J87" i="13" s="1"/>
  <c r="I87" i="19"/>
  <c r="O7" i="6"/>
  <c r="J88" i="13" s="1"/>
  <c r="I88" i="19"/>
  <c r="O7" i="4"/>
  <c r="I79" i="19"/>
  <c r="O10" i="1"/>
  <c r="I45" i="19"/>
  <c r="O22" i="1"/>
  <c r="J57" i="13" s="1"/>
  <c r="I57" i="19"/>
  <c r="K127" i="19"/>
  <c r="Q13" i="10"/>
  <c r="L127" i="19" s="1"/>
  <c r="K138" i="19"/>
  <c r="Q24" i="10"/>
  <c r="L138" i="19" s="1"/>
  <c r="Y151" i="19"/>
  <c r="Z149" i="19"/>
  <c r="J139" i="19"/>
  <c r="K134" i="19"/>
  <c r="Q20" i="10"/>
  <c r="L134" i="19" s="1"/>
  <c r="M9" i="6"/>
  <c r="N9" i="6" s="1"/>
  <c r="I90" i="13" s="1"/>
  <c r="I96" i="13"/>
  <c r="I95" i="13"/>
  <c r="N4" i="5"/>
  <c r="I64" i="13" s="1"/>
  <c r="I79" i="13"/>
  <c r="I41" i="13"/>
  <c r="L154" i="13"/>
  <c r="K154" i="13"/>
  <c r="J154" i="13"/>
  <c r="I154" i="13"/>
  <c r="L152" i="13"/>
  <c r="K152" i="13"/>
  <c r="J152" i="13"/>
  <c r="I152" i="13"/>
  <c r="L150" i="13"/>
  <c r="K150" i="13"/>
  <c r="J150" i="13"/>
  <c r="I150" i="13"/>
  <c r="L149" i="13"/>
  <c r="L151" i="13" s="1"/>
  <c r="K149" i="13"/>
  <c r="K151" i="13" s="1"/>
  <c r="J149" i="13"/>
  <c r="J151" i="13" s="1"/>
  <c r="I149" i="13"/>
  <c r="I151" i="13" s="1"/>
  <c r="L144" i="13"/>
  <c r="K144" i="13"/>
  <c r="J144" i="13"/>
  <c r="I144" i="13"/>
  <c r="J142" i="13"/>
  <c r="I142" i="13"/>
  <c r="K138" i="13"/>
  <c r="J138" i="13"/>
  <c r="I138" i="13"/>
  <c r="K137" i="13"/>
  <c r="J137" i="13"/>
  <c r="I137" i="13"/>
  <c r="K136" i="13"/>
  <c r="J136" i="13"/>
  <c r="I136" i="13"/>
  <c r="L135" i="13"/>
  <c r="K135" i="13"/>
  <c r="J135" i="13"/>
  <c r="I135" i="13"/>
  <c r="K134" i="13"/>
  <c r="J134" i="13"/>
  <c r="I134" i="13"/>
  <c r="L133" i="13"/>
  <c r="K133" i="13"/>
  <c r="J133" i="13"/>
  <c r="I133" i="13"/>
  <c r="K132" i="13"/>
  <c r="J132" i="13"/>
  <c r="I132" i="13"/>
  <c r="L131" i="13"/>
  <c r="K131" i="13"/>
  <c r="J131" i="13"/>
  <c r="I131" i="13"/>
  <c r="K130" i="13"/>
  <c r="J130" i="13"/>
  <c r="I130" i="13"/>
  <c r="K129" i="13"/>
  <c r="J129" i="13"/>
  <c r="I129" i="13"/>
  <c r="K128" i="13"/>
  <c r="J128" i="13"/>
  <c r="I128" i="13"/>
  <c r="L127" i="13"/>
  <c r="K127" i="13"/>
  <c r="J127" i="13"/>
  <c r="I127" i="13"/>
  <c r="L126" i="13"/>
  <c r="K126" i="13"/>
  <c r="J126" i="13"/>
  <c r="I126" i="13"/>
  <c r="L125" i="13"/>
  <c r="K125" i="13"/>
  <c r="J125" i="13"/>
  <c r="I125" i="13"/>
  <c r="L124" i="13"/>
  <c r="K124" i="13"/>
  <c r="J124" i="13"/>
  <c r="I124" i="13"/>
  <c r="K123" i="13"/>
  <c r="J123" i="13"/>
  <c r="I123" i="13"/>
  <c r="K122" i="13"/>
  <c r="J122" i="13"/>
  <c r="I122" i="13"/>
  <c r="L121" i="13"/>
  <c r="K121" i="13"/>
  <c r="J121" i="13"/>
  <c r="I121" i="13"/>
  <c r="L120" i="13"/>
  <c r="K120" i="13"/>
  <c r="J120" i="13"/>
  <c r="I120" i="13"/>
  <c r="L118" i="13"/>
  <c r="K118" i="13"/>
  <c r="J118" i="13"/>
  <c r="I118" i="13"/>
  <c r="L115" i="13"/>
  <c r="K115" i="13"/>
  <c r="J115" i="13"/>
  <c r="I115" i="13"/>
  <c r="J114" i="13"/>
  <c r="I114" i="13"/>
  <c r="J113" i="13"/>
  <c r="I113" i="13"/>
  <c r="L112" i="13"/>
  <c r="K112" i="13"/>
  <c r="J112" i="13"/>
  <c r="I112" i="13"/>
  <c r="L110" i="13"/>
  <c r="K110" i="13"/>
  <c r="J110" i="13"/>
  <c r="I110" i="13"/>
  <c r="L109" i="13"/>
  <c r="K109" i="13"/>
  <c r="J109" i="13"/>
  <c r="I109" i="13"/>
  <c r="L108" i="13"/>
  <c r="K108" i="13"/>
  <c r="J108" i="13"/>
  <c r="I108" i="13"/>
  <c r="L107" i="13"/>
  <c r="K107" i="13"/>
  <c r="J107" i="13"/>
  <c r="I107" i="13"/>
  <c r="L106" i="13"/>
  <c r="K106" i="13"/>
  <c r="J106" i="13"/>
  <c r="I106" i="13"/>
  <c r="L105" i="13"/>
  <c r="K105" i="13"/>
  <c r="J105" i="13"/>
  <c r="I105" i="13"/>
  <c r="L104" i="13"/>
  <c r="K104" i="13"/>
  <c r="J104" i="13"/>
  <c r="I104" i="13"/>
  <c r="L103" i="13"/>
  <c r="K103" i="13"/>
  <c r="J103" i="13"/>
  <c r="I103" i="13"/>
  <c r="L102" i="13"/>
  <c r="K102" i="13"/>
  <c r="J102" i="13"/>
  <c r="I102" i="13"/>
  <c r="L101" i="13"/>
  <c r="K101" i="13"/>
  <c r="J101" i="13"/>
  <c r="I101" i="13"/>
  <c r="L100" i="13"/>
  <c r="K100" i="13"/>
  <c r="J100" i="13"/>
  <c r="I100" i="13"/>
  <c r="L99" i="13"/>
  <c r="K99" i="13"/>
  <c r="J99" i="13"/>
  <c r="I99" i="13"/>
  <c r="L98" i="13"/>
  <c r="K98" i="13"/>
  <c r="J98" i="13"/>
  <c r="I98" i="13"/>
  <c r="L93" i="13"/>
  <c r="K93" i="13"/>
  <c r="J93" i="13"/>
  <c r="I93" i="13"/>
  <c r="K92" i="13"/>
  <c r="J92" i="13"/>
  <c r="I92" i="13"/>
  <c r="I91" i="13"/>
  <c r="I88" i="13"/>
  <c r="I87" i="13"/>
  <c r="I86" i="13"/>
  <c r="I85" i="13"/>
  <c r="L81" i="13"/>
  <c r="K81" i="13"/>
  <c r="J81" i="13"/>
  <c r="I81" i="13"/>
  <c r="L80" i="13"/>
  <c r="K80" i="13"/>
  <c r="J80" i="13"/>
  <c r="I80" i="13"/>
  <c r="I78" i="13"/>
  <c r="L77" i="13"/>
  <c r="K77" i="13"/>
  <c r="J77" i="13"/>
  <c r="I77" i="13"/>
  <c r="J76" i="13"/>
  <c r="I76" i="13"/>
  <c r="L73" i="13"/>
  <c r="K73" i="13"/>
  <c r="J73" i="13"/>
  <c r="I73" i="13"/>
  <c r="L72" i="13"/>
  <c r="K72" i="13"/>
  <c r="J72" i="13"/>
  <c r="I72" i="13"/>
  <c r="I71" i="13"/>
  <c r="I70" i="13"/>
  <c r="I69" i="13"/>
  <c r="I68" i="13"/>
  <c r="L67" i="13"/>
  <c r="K67" i="13"/>
  <c r="J67" i="13"/>
  <c r="I67" i="13"/>
  <c r="L66" i="13"/>
  <c r="K66" i="13"/>
  <c r="J66" i="13"/>
  <c r="I66" i="13"/>
  <c r="L65" i="13"/>
  <c r="K65" i="13"/>
  <c r="J65" i="13"/>
  <c r="I65" i="13"/>
  <c r="L64" i="13"/>
  <c r="K64" i="13"/>
  <c r="J64" i="13"/>
  <c r="L60" i="13"/>
  <c r="K60" i="13"/>
  <c r="J60" i="13"/>
  <c r="I60" i="13"/>
  <c r="I59" i="13"/>
  <c r="L58" i="13"/>
  <c r="K58" i="13"/>
  <c r="J58" i="13"/>
  <c r="I58" i="13"/>
  <c r="I57" i="13"/>
  <c r="L56" i="13"/>
  <c r="K56" i="13"/>
  <c r="J56" i="13"/>
  <c r="I56" i="13"/>
  <c r="J55" i="13"/>
  <c r="I55" i="13"/>
  <c r="L54" i="13"/>
  <c r="K54" i="13"/>
  <c r="J54" i="13"/>
  <c r="I54" i="13"/>
  <c r="L53" i="13"/>
  <c r="K53" i="13"/>
  <c r="J53" i="13"/>
  <c r="I53" i="13"/>
  <c r="L52" i="13"/>
  <c r="K52" i="13"/>
  <c r="J52" i="13"/>
  <c r="I52" i="13"/>
  <c r="L51" i="13"/>
  <c r="K51" i="13"/>
  <c r="J51" i="13"/>
  <c r="I51" i="13"/>
  <c r="J50" i="13"/>
  <c r="I50" i="13"/>
  <c r="I49" i="13"/>
  <c r="I48" i="13"/>
  <c r="L47" i="13"/>
  <c r="K47" i="13"/>
  <c r="J47" i="13"/>
  <c r="I47" i="13"/>
  <c r="I46" i="13"/>
  <c r="L43" i="13"/>
  <c r="K43" i="13"/>
  <c r="J43" i="13"/>
  <c r="I43" i="13"/>
  <c r="L42" i="13"/>
  <c r="K42" i="13"/>
  <c r="J42" i="13"/>
  <c r="I42" i="13"/>
  <c r="L40" i="13"/>
  <c r="K40" i="13"/>
  <c r="J40" i="13"/>
  <c r="I40" i="13"/>
  <c r="I39" i="13"/>
  <c r="L36" i="13"/>
  <c r="K36" i="13"/>
  <c r="J36" i="13"/>
  <c r="I36" i="13"/>
  <c r="L35" i="13"/>
  <c r="K35" i="13"/>
  <c r="J35" i="13"/>
  <c r="I35" i="13"/>
  <c r="L34" i="13"/>
  <c r="K34" i="13"/>
  <c r="J34" i="13"/>
  <c r="I34" i="13"/>
  <c r="L33" i="13"/>
  <c r="K33" i="13"/>
  <c r="J33" i="13"/>
  <c r="I33" i="13"/>
  <c r="L32" i="13"/>
  <c r="K32" i="13"/>
  <c r="J32" i="13"/>
  <c r="I32" i="13"/>
  <c r="L31" i="13"/>
  <c r="K31" i="13"/>
  <c r="J31" i="13"/>
  <c r="I31" i="13"/>
  <c r="L30" i="13"/>
  <c r="L37" i="13" s="1"/>
  <c r="K30" i="13"/>
  <c r="K37" i="13" s="1"/>
  <c r="J30" i="13"/>
  <c r="J37" i="13" s="1"/>
  <c r="I30" i="13"/>
  <c r="I37" i="13" s="1"/>
  <c r="L24" i="13"/>
  <c r="K24" i="13"/>
  <c r="J24" i="13"/>
  <c r="I24" i="13"/>
  <c r="L23" i="13"/>
  <c r="K23" i="13"/>
  <c r="J23" i="13"/>
  <c r="I23" i="13"/>
  <c r="L21" i="13"/>
  <c r="K21" i="13"/>
  <c r="J21" i="13"/>
  <c r="I21" i="13"/>
  <c r="L20" i="13"/>
  <c r="K20" i="13"/>
  <c r="J20" i="13"/>
  <c r="I20" i="13"/>
  <c r="L18" i="13"/>
  <c r="K18" i="13"/>
  <c r="J18" i="13"/>
  <c r="I18" i="13"/>
  <c r="L17" i="13"/>
  <c r="K17" i="13"/>
  <c r="J17" i="13"/>
  <c r="I17" i="13"/>
  <c r="L16" i="13"/>
  <c r="K16" i="13"/>
  <c r="J16" i="13"/>
  <c r="I16" i="13"/>
  <c r="L15" i="13"/>
  <c r="K15" i="13"/>
  <c r="J15" i="13"/>
  <c r="I15" i="13"/>
  <c r="L14" i="13"/>
  <c r="K14" i="13"/>
  <c r="J14" i="13"/>
  <c r="I14" i="13"/>
  <c r="L13" i="13"/>
  <c r="K13" i="13"/>
  <c r="J13" i="13"/>
  <c r="I13" i="13"/>
  <c r="L12" i="13"/>
  <c r="K12" i="13"/>
  <c r="J12" i="13"/>
  <c r="I12" i="13"/>
  <c r="L11" i="13"/>
  <c r="K11" i="13"/>
  <c r="J11" i="13"/>
  <c r="I11" i="13"/>
  <c r="L10" i="13"/>
  <c r="K10" i="13"/>
  <c r="J10" i="13"/>
  <c r="I10" i="13"/>
  <c r="L9" i="13"/>
  <c r="K9" i="13"/>
  <c r="J9" i="13"/>
  <c r="I9" i="13"/>
  <c r="L7" i="13"/>
  <c r="K7" i="13"/>
  <c r="J7" i="13"/>
  <c r="I7" i="13"/>
  <c r="N23" i="5"/>
  <c r="M23" i="5"/>
  <c r="L23" i="5"/>
  <c r="K23" i="5"/>
  <c r="J23" i="5"/>
  <c r="I23" i="5"/>
  <c r="H23" i="5"/>
  <c r="G23" i="5"/>
  <c r="F23" i="5"/>
  <c r="E23" i="5"/>
  <c r="D23" i="5"/>
  <c r="C23" i="5"/>
  <c r="N26" i="5"/>
  <c r="M26" i="5"/>
  <c r="L26" i="5"/>
  <c r="K26" i="5"/>
  <c r="J26" i="5"/>
  <c r="I26" i="5"/>
  <c r="H26" i="5"/>
  <c r="G26" i="5"/>
  <c r="F26" i="5"/>
  <c r="E26" i="5"/>
  <c r="D26" i="5"/>
  <c r="N25" i="5"/>
  <c r="M25" i="5"/>
  <c r="L25" i="5"/>
  <c r="K25" i="5"/>
  <c r="J25" i="5"/>
  <c r="I25" i="5"/>
  <c r="H25" i="5"/>
  <c r="G25" i="5"/>
  <c r="F25" i="5"/>
  <c r="E25" i="5"/>
  <c r="D25" i="5"/>
  <c r="N24" i="5"/>
  <c r="M24" i="5"/>
  <c r="L24" i="5"/>
  <c r="K24" i="5"/>
  <c r="J24" i="5"/>
  <c r="I24" i="5"/>
  <c r="H24" i="5"/>
  <c r="G24" i="5"/>
  <c r="F24" i="5"/>
  <c r="E24" i="5"/>
  <c r="D24" i="5"/>
  <c r="C26" i="5"/>
  <c r="C25" i="5"/>
  <c r="C24" i="5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L8" i="13"/>
  <c r="N4" i="14"/>
  <c r="N10" i="3" s="1"/>
  <c r="N70" i="6"/>
  <c r="M70" i="6"/>
  <c r="L70" i="6"/>
  <c r="K70" i="6"/>
  <c r="J70" i="6"/>
  <c r="I70" i="6"/>
  <c r="H70" i="6"/>
  <c r="G70" i="6"/>
  <c r="F70" i="6"/>
  <c r="E70" i="6"/>
  <c r="D70" i="6"/>
  <c r="C70" i="6"/>
  <c r="N69" i="6"/>
  <c r="X114" i="19" s="1"/>
  <c r="M69" i="6"/>
  <c r="W114" i="19" s="1"/>
  <c r="L69" i="6"/>
  <c r="V114" i="19" s="1"/>
  <c r="K69" i="6"/>
  <c r="U114" i="19" s="1"/>
  <c r="J69" i="6"/>
  <c r="T114" i="19" s="1"/>
  <c r="I69" i="6"/>
  <c r="S114" i="19" s="1"/>
  <c r="H69" i="6"/>
  <c r="R114" i="19" s="1"/>
  <c r="G69" i="6"/>
  <c r="Q114" i="19" s="1"/>
  <c r="F69" i="6"/>
  <c r="P114" i="19" s="1"/>
  <c r="E69" i="6"/>
  <c r="O114" i="19" s="1"/>
  <c r="D69" i="6"/>
  <c r="N114" i="19" s="1"/>
  <c r="C69" i="6"/>
  <c r="M114" i="19" s="1"/>
  <c r="N68" i="6"/>
  <c r="X113" i="19" s="1"/>
  <c r="M68" i="6"/>
  <c r="W113" i="19" s="1"/>
  <c r="L68" i="6"/>
  <c r="V113" i="19" s="1"/>
  <c r="K68" i="6"/>
  <c r="U113" i="19" s="1"/>
  <c r="J68" i="6"/>
  <c r="T113" i="19" s="1"/>
  <c r="I68" i="6"/>
  <c r="S113" i="19" s="1"/>
  <c r="H68" i="6"/>
  <c r="R113" i="19" s="1"/>
  <c r="G68" i="6"/>
  <c r="Q113" i="19" s="1"/>
  <c r="F68" i="6"/>
  <c r="P113" i="19" s="1"/>
  <c r="E68" i="6"/>
  <c r="O113" i="19" s="1"/>
  <c r="D68" i="6"/>
  <c r="N113" i="19" s="1"/>
  <c r="C68" i="6"/>
  <c r="M113" i="19" s="1"/>
  <c r="N67" i="6"/>
  <c r="M67" i="6"/>
  <c r="L67" i="6"/>
  <c r="K67" i="6"/>
  <c r="J67" i="6"/>
  <c r="I67" i="6"/>
  <c r="H67" i="6"/>
  <c r="G67" i="6"/>
  <c r="F67" i="6"/>
  <c r="E67" i="6"/>
  <c r="D67" i="6"/>
  <c r="C67" i="6"/>
  <c r="N65" i="6"/>
  <c r="M65" i="6"/>
  <c r="L65" i="6"/>
  <c r="K65" i="6"/>
  <c r="J65" i="6"/>
  <c r="I65" i="6"/>
  <c r="H65" i="6"/>
  <c r="G65" i="6"/>
  <c r="F65" i="6"/>
  <c r="E65" i="6"/>
  <c r="D65" i="6"/>
  <c r="C65" i="6"/>
  <c r="N64" i="6"/>
  <c r="M64" i="6"/>
  <c r="L64" i="6"/>
  <c r="K64" i="6"/>
  <c r="J64" i="6"/>
  <c r="I64" i="6"/>
  <c r="H64" i="6"/>
  <c r="G64" i="6"/>
  <c r="F64" i="6"/>
  <c r="E64" i="6"/>
  <c r="D64" i="6"/>
  <c r="C64" i="6"/>
  <c r="N63" i="6"/>
  <c r="M63" i="6"/>
  <c r="L63" i="6"/>
  <c r="K63" i="6"/>
  <c r="J63" i="6"/>
  <c r="I63" i="6"/>
  <c r="H63" i="6"/>
  <c r="G63" i="6"/>
  <c r="F63" i="6"/>
  <c r="E63" i="6"/>
  <c r="D63" i="6"/>
  <c r="C63" i="6"/>
  <c r="N62" i="6"/>
  <c r="M62" i="6"/>
  <c r="L62" i="6"/>
  <c r="K62" i="6"/>
  <c r="J62" i="6"/>
  <c r="I62" i="6"/>
  <c r="H62" i="6"/>
  <c r="G62" i="6"/>
  <c r="F62" i="6"/>
  <c r="E62" i="6"/>
  <c r="D62" i="6"/>
  <c r="C62" i="6"/>
  <c r="N61" i="6"/>
  <c r="M61" i="6"/>
  <c r="L61" i="6"/>
  <c r="K61" i="6"/>
  <c r="J61" i="6"/>
  <c r="I61" i="6"/>
  <c r="H61" i="6"/>
  <c r="G61" i="6"/>
  <c r="F61" i="6"/>
  <c r="E61" i="6"/>
  <c r="D61" i="6"/>
  <c r="C61" i="6"/>
  <c r="N60" i="6"/>
  <c r="M60" i="6"/>
  <c r="L60" i="6"/>
  <c r="K60" i="6"/>
  <c r="J60" i="6"/>
  <c r="I60" i="6"/>
  <c r="H60" i="6"/>
  <c r="G60" i="6"/>
  <c r="F60" i="6"/>
  <c r="E60" i="6"/>
  <c r="D60" i="6"/>
  <c r="C60" i="6"/>
  <c r="N59" i="6"/>
  <c r="M59" i="6"/>
  <c r="L59" i="6"/>
  <c r="K59" i="6"/>
  <c r="J59" i="6"/>
  <c r="I59" i="6"/>
  <c r="H59" i="6"/>
  <c r="G59" i="6"/>
  <c r="F59" i="6"/>
  <c r="E59" i="6"/>
  <c r="D59" i="6"/>
  <c r="C59" i="6"/>
  <c r="N58" i="6"/>
  <c r="M58" i="6"/>
  <c r="L58" i="6"/>
  <c r="K58" i="6"/>
  <c r="J58" i="6"/>
  <c r="I58" i="6"/>
  <c r="H58" i="6"/>
  <c r="G58" i="6"/>
  <c r="F58" i="6"/>
  <c r="E58" i="6"/>
  <c r="D58" i="6"/>
  <c r="C58" i="6"/>
  <c r="N57" i="6"/>
  <c r="X102" i="19" s="1"/>
  <c r="M57" i="6"/>
  <c r="W102" i="19" s="1"/>
  <c r="L57" i="6"/>
  <c r="V102" i="19" s="1"/>
  <c r="K57" i="6"/>
  <c r="U102" i="19" s="1"/>
  <c r="J57" i="6"/>
  <c r="T102" i="19" s="1"/>
  <c r="I57" i="6"/>
  <c r="S102" i="19" s="1"/>
  <c r="H57" i="6"/>
  <c r="R102" i="19" s="1"/>
  <c r="G57" i="6"/>
  <c r="Q102" i="19" s="1"/>
  <c r="F57" i="6"/>
  <c r="P102" i="19" s="1"/>
  <c r="E57" i="6"/>
  <c r="O102" i="19" s="1"/>
  <c r="D57" i="6"/>
  <c r="N102" i="19" s="1"/>
  <c r="C57" i="6"/>
  <c r="M102" i="19" s="1"/>
  <c r="N56" i="6"/>
  <c r="M56" i="6"/>
  <c r="L56" i="6"/>
  <c r="K56" i="6"/>
  <c r="J56" i="6"/>
  <c r="I56" i="6"/>
  <c r="H56" i="6"/>
  <c r="G56" i="6"/>
  <c r="F56" i="6"/>
  <c r="E56" i="6"/>
  <c r="D56" i="6"/>
  <c r="C56" i="6"/>
  <c r="N55" i="6"/>
  <c r="X100" i="19" s="1"/>
  <c r="M55" i="6"/>
  <c r="W100" i="19" s="1"/>
  <c r="L55" i="6"/>
  <c r="V100" i="19" s="1"/>
  <c r="K55" i="6"/>
  <c r="U100" i="19" s="1"/>
  <c r="J55" i="6"/>
  <c r="T100" i="19" s="1"/>
  <c r="I55" i="6"/>
  <c r="S100" i="19" s="1"/>
  <c r="H55" i="6"/>
  <c r="R100" i="19" s="1"/>
  <c r="G55" i="6"/>
  <c r="Q100" i="19" s="1"/>
  <c r="F55" i="6"/>
  <c r="P100" i="19" s="1"/>
  <c r="E55" i="6"/>
  <c r="O100" i="19" s="1"/>
  <c r="D55" i="6"/>
  <c r="N100" i="19" s="1"/>
  <c r="C55" i="6"/>
  <c r="M100" i="19" s="1"/>
  <c r="N54" i="6"/>
  <c r="M54" i="6"/>
  <c r="L54" i="6"/>
  <c r="K54" i="6"/>
  <c r="J54" i="6"/>
  <c r="I54" i="6"/>
  <c r="H54" i="6"/>
  <c r="G54" i="6"/>
  <c r="F54" i="6"/>
  <c r="E54" i="6"/>
  <c r="D54" i="6"/>
  <c r="C54" i="6"/>
  <c r="N53" i="6"/>
  <c r="M53" i="6"/>
  <c r="L53" i="6"/>
  <c r="K53" i="6"/>
  <c r="J53" i="6"/>
  <c r="I53" i="6"/>
  <c r="H53" i="6"/>
  <c r="G53" i="6"/>
  <c r="F53" i="6"/>
  <c r="E53" i="6"/>
  <c r="D53" i="6"/>
  <c r="C53" i="6"/>
  <c r="N51" i="6"/>
  <c r="X96" i="19" s="1"/>
  <c r="M51" i="6"/>
  <c r="W96" i="19" s="1"/>
  <c r="L51" i="6"/>
  <c r="V96" i="19" s="1"/>
  <c r="K51" i="6"/>
  <c r="U96" i="19" s="1"/>
  <c r="J51" i="6"/>
  <c r="T96" i="19" s="1"/>
  <c r="I51" i="6"/>
  <c r="S96" i="19" s="1"/>
  <c r="H51" i="6"/>
  <c r="R96" i="19" s="1"/>
  <c r="G51" i="6"/>
  <c r="Q96" i="19" s="1"/>
  <c r="F51" i="6"/>
  <c r="P96" i="19" s="1"/>
  <c r="E51" i="6"/>
  <c r="O96" i="19" s="1"/>
  <c r="D51" i="6"/>
  <c r="N96" i="19" s="1"/>
  <c r="C51" i="6"/>
  <c r="M96" i="19" s="1"/>
  <c r="N50" i="6"/>
  <c r="X95" i="19" s="1"/>
  <c r="M50" i="6"/>
  <c r="W95" i="19" s="1"/>
  <c r="L50" i="6"/>
  <c r="V95" i="19" s="1"/>
  <c r="K50" i="6"/>
  <c r="U95" i="19" s="1"/>
  <c r="J50" i="6"/>
  <c r="T95" i="19" s="1"/>
  <c r="I50" i="6"/>
  <c r="S95" i="19" s="1"/>
  <c r="H50" i="6"/>
  <c r="R95" i="19" s="1"/>
  <c r="G50" i="6"/>
  <c r="Q95" i="19" s="1"/>
  <c r="F50" i="6"/>
  <c r="P95" i="19" s="1"/>
  <c r="E50" i="6"/>
  <c r="O95" i="19" s="1"/>
  <c r="D50" i="6"/>
  <c r="N95" i="19" s="1"/>
  <c r="C50" i="6"/>
  <c r="M95" i="19" s="1"/>
  <c r="N48" i="6"/>
  <c r="X93" i="19" s="1"/>
  <c r="M48" i="6"/>
  <c r="W93" i="19" s="1"/>
  <c r="L48" i="6"/>
  <c r="V93" i="19" s="1"/>
  <c r="K48" i="6"/>
  <c r="U93" i="19" s="1"/>
  <c r="J48" i="6"/>
  <c r="T93" i="19" s="1"/>
  <c r="I48" i="6"/>
  <c r="S93" i="19" s="1"/>
  <c r="H48" i="6"/>
  <c r="R93" i="19" s="1"/>
  <c r="G48" i="6"/>
  <c r="Q93" i="19" s="1"/>
  <c r="F48" i="6"/>
  <c r="P93" i="19" s="1"/>
  <c r="E48" i="6"/>
  <c r="O93" i="19" s="1"/>
  <c r="D48" i="6"/>
  <c r="N93" i="19" s="1"/>
  <c r="C48" i="6"/>
  <c r="M93" i="19" s="1"/>
  <c r="N47" i="6"/>
  <c r="M47" i="6"/>
  <c r="L47" i="6"/>
  <c r="K47" i="6"/>
  <c r="J47" i="6"/>
  <c r="I47" i="6"/>
  <c r="H47" i="6"/>
  <c r="G47" i="6"/>
  <c r="F47" i="6"/>
  <c r="E47" i="6"/>
  <c r="D47" i="6"/>
  <c r="C47" i="6"/>
  <c r="N46" i="6"/>
  <c r="M46" i="6"/>
  <c r="L46" i="6"/>
  <c r="K46" i="6"/>
  <c r="J46" i="6"/>
  <c r="I46" i="6"/>
  <c r="H46" i="6"/>
  <c r="G46" i="6"/>
  <c r="F46" i="6"/>
  <c r="E46" i="6"/>
  <c r="D46" i="6"/>
  <c r="C46" i="6"/>
  <c r="N45" i="6"/>
  <c r="K45" i="6"/>
  <c r="J45" i="6"/>
  <c r="G45" i="6"/>
  <c r="F45" i="6"/>
  <c r="C45" i="6"/>
  <c r="N44" i="6"/>
  <c r="X89" i="19" s="1"/>
  <c r="M44" i="6"/>
  <c r="W89" i="19" s="1"/>
  <c r="L44" i="6"/>
  <c r="V89" i="19" s="1"/>
  <c r="K44" i="6"/>
  <c r="U89" i="19" s="1"/>
  <c r="J44" i="6"/>
  <c r="T89" i="19" s="1"/>
  <c r="I44" i="6"/>
  <c r="S89" i="19" s="1"/>
  <c r="H44" i="6"/>
  <c r="R89" i="19" s="1"/>
  <c r="G44" i="6"/>
  <c r="Q89" i="19" s="1"/>
  <c r="F44" i="6"/>
  <c r="P89" i="19" s="1"/>
  <c r="E44" i="6"/>
  <c r="O89" i="19" s="1"/>
  <c r="D44" i="6"/>
  <c r="N89" i="19" s="1"/>
  <c r="C44" i="6"/>
  <c r="M89" i="19" s="1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X86" i="19" s="1"/>
  <c r="M41" i="6"/>
  <c r="W86" i="19" s="1"/>
  <c r="L41" i="6"/>
  <c r="V86" i="19" s="1"/>
  <c r="K41" i="6"/>
  <c r="U86" i="19" s="1"/>
  <c r="J41" i="6"/>
  <c r="T86" i="19" s="1"/>
  <c r="I41" i="6"/>
  <c r="S86" i="19" s="1"/>
  <c r="H41" i="6"/>
  <c r="R86" i="19" s="1"/>
  <c r="G41" i="6"/>
  <c r="Q86" i="19" s="1"/>
  <c r="F41" i="6"/>
  <c r="P86" i="19" s="1"/>
  <c r="E41" i="6"/>
  <c r="O86" i="19" s="1"/>
  <c r="D41" i="6"/>
  <c r="N86" i="19" s="1"/>
  <c r="C41" i="6"/>
  <c r="M86" i="19" s="1"/>
  <c r="N40" i="6"/>
  <c r="M40" i="6"/>
  <c r="L40" i="6"/>
  <c r="K40" i="6"/>
  <c r="J40" i="6"/>
  <c r="I40" i="6"/>
  <c r="H40" i="6"/>
  <c r="G40" i="6"/>
  <c r="F40" i="6"/>
  <c r="E40" i="6"/>
  <c r="D40" i="6"/>
  <c r="C40" i="6"/>
  <c r="N30" i="6"/>
  <c r="Y93" i="19" l="1"/>
  <c r="I153" i="22"/>
  <c r="I155" i="22" s="1"/>
  <c r="I156" i="22" s="1"/>
  <c r="Y114" i="19"/>
  <c r="Z114" i="19" s="1"/>
  <c r="Y102" i="19"/>
  <c r="Z102" i="19" s="1"/>
  <c r="Y100" i="19"/>
  <c r="Z100" i="19" s="1"/>
  <c r="Y86" i="19"/>
  <c r="Z86" i="19" s="1"/>
  <c r="Y96" i="19"/>
  <c r="Z96" i="19" s="1"/>
  <c r="Y95" i="19"/>
  <c r="Z95" i="19" s="1"/>
  <c r="L129" i="13"/>
  <c r="L92" i="13"/>
  <c r="L122" i="13"/>
  <c r="L136" i="13"/>
  <c r="L137" i="13"/>
  <c r="L19" i="13"/>
  <c r="L132" i="13"/>
  <c r="L128" i="13"/>
  <c r="L130" i="13"/>
  <c r="L147" i="18"/>
  <c r="L134" i="13"/>
  <c r="P6" i="1"/>
  <c r="J41" i="19"/>
  <c r="P13" i="1"/>
  <c r="K48" i="13" s="1"/>
  <c r="J48" i="19"/>
  <c r="O8" i="6"/>
  <c r="I89" i="19"/>
  <c r="P14" i="6"/>
  <c r="J95" i="19"/>
  <c r="Z151" i="19"/>
  <c r="P5" i="6"/>
  <c r="K86" i="13" s="1"/>
  <c r="J86" i="19"/>
  <c r="P4" i="6"/>
  <c r="K85" i="13" s="1"/>
  <c r="J85" i="19"/>
  <c r="K147" i="17"/>
  <c r="K155" i="17" s="1"/>
  <c r="P20" i="1"/>
  <c r="J55" i="19"/>
  <c r="P4" i="4"/>
  <c r="J76" i="19"/>
  <c r="P10" i="5"/>
  <c r="J70" i="19"/>
  <c r="Q24" i="1"/>
  <c r="L59" i="19" s="1"/>
  <c r="K59" i="19"/>
  <c r="K139" i="19"/>
  <c r="P8" i="5"/>
  <c r="K68" i="13" s="1"/>
  <c r="J68" i="19"/>
  <c r="P4" i="1"/>
  <c r="J39" i="19"/>
  <c r="P11" i="1"/>
  <c r="J46" i="19"/>
  <c r="N16" i="6"/>
  <c r="I111" i="19"/>
  <c r="Y89" i="19"/>
  <c r="J46" i="13"/>
  <c r="I89" i="13"/>
  <c r="L123" i="13"/>
  <c r="L138" i="13"/>
  <c r="O9" i="6"/>
  <c r="J90" i="13" s="1"/>
  <c r="I90" i="19"/>
  <c r="P10" i="1"/>
  <c r="J45" i="19"/>
  <c r="P7" i="6"/>
  <c r="J88" i="19"/>
  <c r="P11" i="5"/>
  <c r="K71" i="13" s="1"/>
  <c r="J71" i="19"/>
  <c r="Q4" i="3"/>
  <c r="K142" i="19"/>
  <c r="I74" i="19"/>
  <c r="L146" i="17"/>
  <c r="F45" i="21" s="1"/>
  <c r="L19" i="17"/>
  <c r="L143" i="17"/>
  <c r="P6" i="4"/>
  <c r="K78" i="13" s="1"/>
  <c r="J78" i="19"/>
  <c r="P14" i="1"/>
  <c r="J49" i="19"/>
  <c r="P9" i="1"/>
  <c r="J44" i="19"/>
  <c r="I61" i="19"/>
  <c r="L139" i="19"/>
  <c r="Y113" i="19"/>
  <c r="I143" i="19"/>
  <c r="N8" i="3"/>
  <c r="I146" i="13" s="1"/>
  <c r="C6" i="21" s="1"/>
  <c r="I146" i="19"/>
  <c r="C19" i="21" s="1"/>
  <c r="N5" i="3"/>
  <c r="I143" i="13" s="1"/>
  <c r="I6" i="19"/>
  <c r="I25" i="19" s="1"/>
  <c r="I26" i="19" s="1"/>
  <c r="J39" i="13"/>
  <c r="P22" i="1"/>
  <c r="J57" i="19"/>
  <c r="P7" i="4"/>
  <c r="J79" i="19"/>
  <c r="P6" i="6"/>
  <c r="J87" i="19"/>
  <c r="P15" i="6"/>
  <c r="J96" i="19"/>
  <c r="P15" i="1"/>
  <c r="J50" i="19"/>
  <c r="P10" i="6"/>
  <c r="J91" i="19"/>
  <c r="P32" i="6"/>
  <c r="J113" i="19"/>
  <c r="P33" i="6"/>
  <c r="J114" i="19"/>
  <c r="I82" i="19"/>
  <c r="P9" i="5"/>
  <c r="K69" i="13" s="1"/>
  <c r="J69" i="19"/>
  <c r="O4" i="14"/>
  <c r="I6" i="13"/>
  <c r="M66" i="6"/>
  <c r="W111" i="19" s="1"/>
  <c r="F66" i="6"/>
  <c r="P111" i="19" s="1"/>
  <c r="L45" i="6"/>
  <c r="C66" i="6"/>
  <c r="M111" i="19" s="1"/>
  <c r="G66" i="6"/>
  <c r="Q111" i="19" s="1"/>
  <c r="K66" i="6"/>
  <c r="U111" i="19" s="1"/>
  <c r="J8" i="13"/>
  <c r="J19" i="13"/>
  <c r="O30" i="6"/>
  <c r="J111" i="13" s="1"/>
  <c r="E66" i="6"/>
  <c r="O111" i="19" s="1"/>
  <c r="I66" i="6"/>
  <c r="S111" i="19" s="1"/>
  <c r="J66" i="6"/>
  <c r="T111" i="19" s="1"/>
  <c r="N66" i="6"/>
  <c r="X111" i="19" s="1"/>
  <c r="I8" i="13"/>
  <c r="I19" i="13"/>
  <c r="D45" i="6"/>
  <c r="H45" i="6"/>
  <c r="E45" i="6"/>
  <c r="I45" i="6"/>
  <c r="M45" i="6"/>
  <c r="D66" i="6"/>
  <c r="N111" i="19" s="1"/>
  <c r="H66" i="6"/>
  <c r="R111" i="19" s="1"/>
  <c r="L66" i="6"/>
  <c r="V111" i="19" s="1"/>
  <c r="N13" i="6"/>
  <c r="K8" i="13"/>
  <c r="K19" i="13"/>
  <c r="I111" i="13"/>
  <c r="H97" i="19"/>
  <c r="J85" i="13"/>
  <c r="J68" i="13"/>
  <c r="J48" i="13"/>
  <c r="J86" i="13"/>
  <c r="I74" i="13"/>
  <c r="J91" i="13"/>
  <c r="J70" i="13"/>
  <c r="J69" i="13"/>
  <c r="J71" i="13"/>
  <c r="I82" i="13"/>
  <c r="J59" i="13"/>
  <c r="J49" i="13"/>
  <c r="J44" i="13"/>
  <c r="J45" i="13"/>
  <c r="I44" i="13"/>
  <c r="I45" i="13"/>
  <c r="X77" i="13"/>
  <c r="W77" i="13"/>
  <c r="V77" i="13"/>
  <c r="U77" i="13"/>
  <c r="T77" i="13"/>
  <c r="S77" i="13"/>
  <c r="R77" i="13"/>
  <c r="Q77" i="13"/>
  <c r="P77" i="13"/>
  <c r="O77" i="13"/>
  <c r="N77" i="13"/>
  <c r="X76" i="13"/>
  <c r="W76" i="13"/>
  <c r="V76" i="13"/>
  <c r="U76" i="13"/>
  <c r="T76" i="13"/>
  <c r="S76" i="13"/>
  <c r="R76" i="13"/>
  <c r="Q76" i="13"/>
  <c r="P76" i="13"/>
  <c r="O76" i="13"/>
  <c r="N76" i="13"/>
  <c r="X32" i="13"/>
  <c r="W32" i="13"/>
  <c r="V32" i="13"/>
  <c r="U32" i="13"/>
  <c r="T32" i="13"/>
  <c r="S32" i="13"/>
  <c r="R32" i="13"/>
  <c r="Q32" i="13"/>
  <c r="P32" i="13"/>
  <c r="O32" i="13"/>
  <c r="N32" i="13"/>
  <c r="Z93" i="19" l="1"/>
  <c r="I153" i="13"/>
  <c r="J6" i="13"/>
  <c r="O10" i="3"/>
  <c r="I157" i="22"/>
  <c r="C55" i="21"/>
  <c r="C61" i="21" s="1"/>
  <c r="C63" i="21" s="1"/>
  <c r="D62" i="21" s="1"/>
  <c r="L147" i="17"/>
  <c r="L155" i="17" s="1"/>
  <c r="J82" i="19"/>
  <c r="I83" i="19"/>
  <c r="Y111" i="19"/>
  <c r="Q32" i="6"/>
  <c r="K113" i="19"/>
  <c r="K113" i="13"/>
  <c r="Q15" i="1"/>
  <c r="K50" i="19"/>
  <c r="K50" i="13"/>
  <c r="Z113" i="19"/>
  <c r="Q14" i="1"/>
  <c r="L49" i="19" s="1"/>
  <c r="K49" i="19"/>
  <c r="L142" i="19"/>
  <c r="L142" i="13"/>
  <c r="Q7" i="6"/>
  <c r="K88" i="19"/>
  <c r="K88" i="13"/>
  <c r="P9" i="6"/>
  <c r="K90" i="13" s="1"/>
  <c r="J90" i="19"/>
  <c r="Q11" i="1"/>
  <c r="K46" i="19"/>
  <c r="K46" i="13"/>
  <c r="Q8" i="5"/>
  <c r="K68" i="19"/>
  <c r="Q4" i="4"/>
  <c r="K76" i="19"/>
  <c r="K76" i="13"/>
  <c r="Q6" i="4"/>
  <c r="K78" i="19"/>
  <c r="Q10" i="1"/>
  <c r="L45" i="19" s="1"/>
  <c r="K45" i="19"/>
  <c r="Q10" i="5"/>
  <c r="K70" i="19"/>
  <c r="K70" i="13"/>
  <c r="K74" i="13" s="1"/>
  <c r="I94" i="13"/>
  <c r="I94" i="19"/>
  <c r="F49" i="6"/>
  <c r="P94" i="19" s="1"/>
  <c r="H94" i="19"/>
  <c r="H116" i="19" s="1"/>
  <c r="H140" i="19" s="1"/>
  <c r="P4" i="14"/>
  <c r="P10" i="3" s="1"/>
  <c r="J143" i="19"/>
  <c r="O8" i="3"/>
  <c r="J146" i="13" s="1"/>
  <c r="D6" i="21" s="1"/>
  <c r="J146" i="19"/>
  <c r="D19" i="21" s="1"/>
  <c r="O5" i="3"/>
  <c r="J143" i="13" s="1"/>
  <c r="J6" i="19"/>
  <c r="J25" i="19" s="1"/>
  <c r="J26" i="19" s="1"/>
  <c r="Q6" i="6"/>
  <c r="K87" i="19"/>
  <c r="K87" i="13"/>
  <c r="Q22" i="1"/>
  <c r="K57" i="19"/>
  <c r="K57" i="13"/>
  <c r="J61" i="19"/>
  <c r="Q4" i="6"/>
  <c r="K85" i="19"/>
  <c r="P8" i="6"/>
  <c r="J89" i="19"/>
  <c r="J89" i="13"/>
  <c r="Q6" i="1"/>
  <c r="L41" i="19" s="1"/>
  <c r="K41" i="19"/>
  <c r="P30" i="6"/>
  <c r="J111" i="19"/>
  <c r="Q33" i="6"/>
  <c r="K114" i="19"/>
  <c r="Q10" i="6"/>
  <c r="L91" i="19" s="1"/>
  <c r="K91" i="19"/>
  <c r="Q9" i="1"/>
  <c r="L44" i="19" s="1"/>
  <c r="K44" i="19"/>
  <c r="Q11" i="5"/>
  <c r="K71" i="19"/>
  <c r="I97" i="13"/>
  <c r="I97" i="19"/>
  <c r="Q4" i="1"/>
  <c r="K39" i="19"/>
  <c r="Q20" i="1"/>
  <c r="K55" i="19"/>
  <c r="K55" i="13"/>
  <c r="K39" i="13"/>
  <c r="Q9" i="5"/>
  <c r="K69" i="19"/>
  <c r="Q15" i="6"/>
  <c r="L96" i="19" s="1"/>
  <c r="K96" i="19"/>
  <c r="Q7" i="4"/>
  <c r="L79" i="19" s="1"/>
  <c r="K79" i="19"/>
  <c r="Z89" i="19"/>
  <c r="J74" i="19"/>
  <c r="Q5" i="6"/>
  <c r="K86" i="19"/>
  <c r="Q14" i="6"/>
  <c r="L95" i="19" s="1"/>
  <c r="K95" i="19"/>
  <c r="Q13" i="1"/>
  <c r="K48" i="19"/>
  <c r="E49" i="6"/>
  <c r="O94" i="19" s="1"/>
  <c r="G49" i="6"/>
  <c r="Q94" i="19" s="1"/>
  <c r="I49" i="6"/>
  <c r="S94" i="19" s="1"/>
  <c r="K49" i="6"/>
  <c r="U94" i="19" s="1"/>
  <c r="O16" i="6"/>
  <c r="H49" i="6"/>
  <c r="R94" i="19" s="1"/>
  <c r="C49" i="6"/>
  <c r="M94" i="19" s="1"/>
  <c r="D49" i="6"/>
  <c r="N94" i="19" s="1"/>
  <c r="N49" i="6"/>
  <c r="X94" i="19" s="1"/>
  <c r="O13" i="6"/>
  <c r="J49" i="6"/>
  <c r="T94" i="19" s="1"/>
  <c r="L49" i="6"/>
  <c r="V94" i="19" s="1"/>
  <c r="M49" i="6"/>
  <c r="W94" i="19" s="1"/>
  <c r="I61" i="13"/>
  <c r="J96" i="13"/>
  <c r="J95" i="13"/>
  <c r="J74" i="13"/>
  <c r="I83" i="13"/>
  <c r="K91" i="13"/>
  <c r="J79" i="13"/>
  <c r="J82" i="13" s="1"/>
  <c r="L59" i="13"/>
  <c r="K59" i="13"/>
  <c r="K49" i="13"/>
  <c r="K45" i="13"/>
  <c r="K44" i="13"/>
  <c r="J41" i="13"/>
  <c r="J61" i="13" s="1"/>
  <c r="K153" i="22" l="1"/>
  <c r="K155" i="22" s="1"/>
  <c r="K156" i="22" s="1"/>
  <c r="J153" i="22"/>
  <c r="J155" i="22" s="1"/>
  <c r="J156" i="22" s="1"/>
  <c r="I119" i="18"/>
  <c r="I139" i="18" s="1"/>
  <c r="I140" i="18" s="1"/>
  <c r="I155" i="18" s="1"/>
  <c r="I156" i="18" s="1"/>
  <c r="I119" i="13"/>
  <c r="I139" i="13" s="1"/>
  <c r="L49" i="13"/>
  <c r="L45" i="13"/>
  <c r="L44" i="13"/>
  <c r="I116" i="13"/>
  <c r="J83" i="19"/>
  <c r="I116" i="19"/>
  <c r="I140" i="19" s="1"/>
  <c r="Q30" i="6"/>
  <c r="Q16" i="6" s="1"/>
  <c r="K111" i="19"/>
  <c r="K74" i="19"/>
  <c r="L91" i="13"/>
  <c r="P13" i="6"/>
  <c r="K111" i="13"/>
  <c r="J94" i="13"/>
  <c r="J94" i="19"/>
  <c r="Y94" i="19"/>
  <c r="L48" i="19"/>
  <c r="L48" i="13"/>
  <c r="L86" i="19"/>
  <c r="L86" i="13"/>
  <c r="K61" i="19"/>
  <c r="L114" i="19"/>
  <c r="L114" i="13"/>
  <c r="L87" i="19"/>
  <c r="L87" i="13"/>
  <c r="K82" i="19"/>
  <c r="Q9" i="6"/>
  <c r="K90" i="19"/>
  <c r="L113" i="19"/>
  <c r="L113" i="13"/>
  <c r="Q4" i="14"/>
  <c r="Q10" i="3" s="1"/>
  <c r="K146" i="19"/>
  <c r="E19" i="21" s="1"/>
  <c r="P5" i="3"/>
  <c r="K143" i="13" s="1"/>
  <c r="K143" i="19"/>
  <c r="P8" i="3"/>
  <c r="K146" i="13" s="1"/>
  <c r="E6" i="21" s="1"/>
  <c r="K6" i="19"/>
  <c r="K25" i="19" s="1"/>
  <c r="K26" i="19" s="1"/>
  <c r="K6" i="13"/>
  <c r="L46" i="19"/>
  <c r="L46" i="13"/>
  <c r="P16" i="6"/>
  <c r="L39" i="19"/>
  <c r="L39" i="13"/>
  <c r="L71" i="19"/>
  <c r="L71" i="13"/>
  <c r="L85" i="19"/>
  <c r="L85" i="13"/>
  <c r="L57" i="19"/>
  <c r="L57" i="13"/>
  <c r="L70" i="19"/>
  <c r="L70" i="13"/>
  <c r="L78" i="19"/>
  <c r="L78" i="13"/>
  <c r="L76" i="19"/>
  <c r="L76" i="13"/>
  <c r="L50" i="19"/>
  <c r="L50" i="13"/>
  <c r="Z111" i="19"/>
  <c r="J97" i="13"/>
  <c r="J97" i="19"/>
  <c r="L69" i="19"/>
  <c r="L69" i="13"/>
  <c r="L55" i="19"/>
  <c r="L55" i="13"/>
  <c r="Q8" i="6"/>
  <c r="K89" i="19"/>
  <c r="K89" i="13"/>
  <c r="L68" i="19"/>
  <c r="L68" i="13"/>
  <c r="L88" i="19"/>
  <c r="L88" i="13"/>
  <c r="L96" i="13"/>
  <c r="K96" i="13"/>
  <c r="L95" i="13"/>
  <c r="K95" i="13"/>
  <c r="J83" i="13"/>
  <c r="L79" i="13"/>
  <c r="K79" i="13"/>
  <c r="K82" i="13" s="1"/>
  <c r="K83" i="13" s="1"/>
  <c r="L41" i="13"/>
  <c r="K41" i="13"/>
  <c r="K61" i="13" s="1"/>
  <c r="P10" i="4"/>
  <c r="O10" i="4"/>
  <c r="N10" i="4"/>
  <c r="M10" i="4"/>
  <c r="N24" i="3"/>
  <c r="M24" i="3"/>
  <c r="L24" i="3"/>
  <c r="K24" i="3"/>
  <c r="J24" i="3"/>
  <c r="I24" i="3"/>
  <c r="H24" i="3"/>
  <c r="G24" i="3"/>
  <c r="F24" i="3"/>
  <c r="E24" i="3"/>
  <c r="D24" i="3"/>
  <c r="C24" i="3"/>
  <c r="N22" i="3"/>
  <c r="M22" i="3"/>
  <c r="L22" i="3"/>
  <c r="K22" i="3"/>
  <c r="J22" i="3"/>
  <c r="I22" i="3"/>
  <c r="H22" i="3"/>
  <c r="G22" i="3"/>
  <c r="F22" i="3"/>
  <c r="E22" i="3"/>
  <c r="D22" i="3"/>
  <c r="C22" i="3"/>
  <c r="N19" i="3"/>
  <c r="M19" i="3"/>
  <c r="L19" i="3"/>
  <c r="K19" i="3"/>
  <c r="J19" i="3"/>
  <c r="I19" i="3"/>
  <c r="H19" i="3"/>
  <c r="G19" i="3"/>
  <c r="F19" i="3"/>
  <c r="E19" i="3"/>
  <c r="D19" i="3"/>
  <c r="C19" i="3"/>
  <c r="N18" i="3"/>
  <c r="K18" i="3"/>
  <c r="J18" i="3"/>
  <c r="G18" i="3"/>
  <c r="F18" i="3"/>
  <c r="C18" i="3"/>
  <c r="N17" i="3"/>
  <c r="X142" i="19" s="1"/>
  <c r="M17" i="3"/>
  <c r="W142" i="19" s="1"/>
  <c r="L17" i="3"/>
  <c r="V142" i="19" s="1"/>
  <c r="K17" i="3"/>
  <c r="U142" i="19" s="1"/>
  <c r="J17" i="3"/>
  <c r="T142" i="19" s="1"/>
  <c r="I17" i="3"/>
  <c r="S142" i="19" s="1"/>
  <c r="H17" i="3"/>
  <c r="R142" i="19" s="1"/>
  <c r="G17" i="3"/>
  <c r="Q142" i="19" s="1"/>
  <c r="F17" i="3"/>
  <c r="P142" i="19" s="1"/>
  <c r="E17" i="3"/>
  <c r="O142" i="19" s="1"/>
  <c r="D17" i="3"/>
  <c r="C17" i="3"/>
  <c r="M7" i="3"/>
  <c r="L18" i="3"/>
  <c r="N48" i="14"/>
  <c r="M48" i="14"/>
  <c r="L48" i="14"/>
  <c r="K48" i="14"/>
  <c r="J48" i="14"/>
  <c r="I48" i="14"/>
  <c r="H48" i="14"/>
  <c r="G48" i="14"/>
  <c r="F48" i="14"/>
  <c r="E48" i="14"/>
  <c r="D48" i="14"/>
  <c r="C48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J44" i="14"/>
  <c r="I44" i="14"/>
  <c r="H44" i="14"/>
  <c r="G44" i="14"/>
  <c r="L43" i="14"/>
  <c r="V19" i="17" s="1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J38" i="14"/>
  <c r="I38" i="14"/>
  <c r="H38" i="14"/>
  <c r="G38" i="14"/>
  <c r="J37" i="14"/>
  <c r="I37" i="14"/>
  <c r="H37" i="14"/>
  <c r="G37" i="14"/>
  <c r="J36" i="14"/>
  <c r="I36" i="14"/>
  <c r="H36" i="14"/>
  <c r="G36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I32" i="14"/>
  <c r="S8" i="18" s="1"/>
  <c r="N31" i="14"/>
  <c r="M31" i="14"/>
  <c r="L31" i="14"/>
  <c r="K31" i="14"/>
  <c r="J31" i="14"/>
  <c r="I31" i="14"/>
  <c r="H31" i="14"/>
  <c r="G31" i="14"/>
  <c r="F31" i="14"/>
  <c r="E31" i="14"/>
  <c r="D31" i="14"/>
  <c r="C31" i="14"/>
  <c r="C30" i="14"/>
  <c r="M6" i="19" s="1"/>
  <c r="J153" i="13" l="1"/>
  <c r="K157" i="22"/>
  <c r="E55" i="21"/>
  <c r="E61" i="21" s="1"/>
  <c r="L153" i="22"/>
  <c r="L155" i="22" s="1"/>
  <c r="L156" i="22" s="1"/>
  <c r="J157" i="22"/>
  <c r="D55" i="21"/>
  <c r="D61" i="21" s="1"/>
  <c r="D63" i="21" s="1"/>
  <c r="E62" i="21" s="1"/>
  <c r="K153" i="13"/>
  <c r="I157" i="18"/>
  <c r="C30" i="21"/>
  <c r="C36" i="21" s="1"/>
  <c r="C38" i="21" s="1"/>
  <c r="D37" i="21" s="1"/>
  <c r="J119" i="18"/>
  <c r="J139" i="18" s="1"/>
  <c r="J140" i="18" s="1"/>
  <c r="J155" i="18" s="1"/>
  <c r="J156" i="18" s="1"/>
  <c r="J119" i="13"/>
  <c r="J139" i="13" s="1"/>
  <c r="Y142" i="19"/>
  <c r="Z142" i="19" s="1"/>
  <c r="M144" i="18"/>
  <c r="M144" i="19"/>
  <c r="U144" i="18"/>
  <c r="U144" i="19"/>
  <c r="Q152" i="19"/>
  <c r="Q152" i="17"/>
  <c r="Q152" i="18"/>
  <c r="M154" i="19"/>
  <c r="Q154" i="19"/>
  <c r="R144" i="19"/>
  <c r="R144" i="18"/>
  <c r="N152" i="17"/>
  <c r="N152" i="19"/>
  <c r="N152" i="18"/>
  <c r="R152" i="19"/>
  <c r="R152" i="18"/>
  <c r="R152" i="17"/>
  <c r="N154" i="19"/>
  <c r="V154" i="19"/>
  <c r="O144" i="19"/>
  <c r="O144" i="18"/>
  <c r="S144" i="19"/>
  <c r="S144" i="18"/>
  <c r="W144" i="19"/>
  <c r="W144" i="18"/>
  <c r="O152" i="18"/>
  <c r="O152" i="19"/>
  <c r="O152" i="17"/>
  <c r="S152" i="18"/>
  <c r="S152" i="19"/>
  <c r="S152" i="17"/>
  <c r="W152" i="18"/>
  <c r="W152" i="19"/>
  <c r="W152" i="17"/>
  <c r="O154" i="19"/>
  <c r="S154" i="19"/>
  <c r="W154" i="19"/>
  <c r="Q144" i="19"/>
  <c r="Q144" i="18"/>
  <c r="M152" i="19"/>
  <c r="M152" i="17"/>
  <c r="M152" i="18"/>
  <c r="U152" i="19"/>
  <c r="U152" i="17"/>
  <c r="U152" i="18"/>
  <c r="U154" i="19"/>
  <c r="N144" i="19"/>
  <c r="N144" i="18"/>
  <c r="V144" i="19"/>
  <c r="V144" i="18"/>
  <c r="V152" i="19"/>
  <c r="V152" i="17"/>
  <c r="V152" i="18"/>
  <c r="R154" i="19"/>
  <c r="P144" i="18"/>
  <c r="P144" i="19"/>
  <c r="T144" i="18"/>
  <c r="T144" i="19"/>
  <c r="X144" i="18"/>
  <c r="X144" i="19"/>
  <c r="P152" i="18"/>
  <c r="P152" i="19"/>
  <c r="P152" i="17"/>
  <c r="T152" i="18"/>
  <c r="T152" i="19"/>
  <c r="T152" i="17"/>
  <c r="X152" i="18"/>
  <c r="X152" i="19"/>
  <c r="X152" i="17"/>
  <c r="P154" i="19"/>
  <c r="T154" i="19"/>
  <c r="X154" i="19"/>
  <c r="J116" i="13"/>
  <c r="L111" i="13"/>
  <c r="V143" i="17"/>
  <c r="V147" i="17" s="1"/>
  <c r="R143" i="17"/>
  <c r="N143" i="17"/>
  <c r="M146" i="17"/>
  <c r="Y146" i="17" s="1"/>
  <c r="Z146" i="17" s="1"/>
  <c r="U143" i="17"/>
  <c r="U147" i="17" s="1"/>
  <c r="Q143" i="17"/>
  <c r="Q147" i="17" s="1"/>
  <c r="M143" i="17"/>
  <c r="X143" i="17"/>
  <c r="X147" i="17" s="1"/>
  <c r="T143" i="17"/>
  <c r="T147" i="17" s="1"/>
  <c r="W143" i="17"/>
  <c r="S143" i="17"/>
  <c r="O143" i="17"/>
  <c r="P143" i="17"/>
  <c r="P147" i="17" s="1"/>
  <c r="Y19" i="17"/>
  <c r="W143" i="18"/>
  <c r="S143" i="18"/>
  <c r="O143" i="18"/>
  <c r="T143" i="18"/>
  <c r="P143" i="18"/>
  <c r="P147" i="18" s="1"/>
  <c r="V143" i="18"/>
  <c r="R143" i="18"/>
  <c r="N143" i="18"/>
  <c r="V146" i="18"/>
  <c r="Y146" i="18" s="1"/>
  <c r="U143" i="18"/>
  <c r="Q143" i="18"/>
  <c r="M143" i="18"/>
  <c r="S25" i="18"/>
  <c r="S26" i="18" s="1"/>
  <c r="Y26" i="18" s="1"/>
  <c r="X143" i="18"/>
  <c r="Y8" i="18"/>
  <c r="M25" i="19"/>
  <c r="M26" i="19" s="1"/>
  <c r="Y26" i="19" s="1"/>
  <c r="V143" i="19"/>
  <c r="R143" i="19"/>
  <c r="N143" i="19"/>
  <c r="X143" i="19"/>
  <c r="P143" i="19"/>
  <c r="R146" i="19"/>
  <c r="Y146" i="19" s="1"/>
  <c r="Z146" i="19" s="1"/>
  <c r="U143" i="19"/>
  <c r="Q143" i="19"/>
  <c r="M143" i="19"/>
  <c r="T143" i="19"/>
  <c r="W143" i="19"/>
  <c r="S143" i="19"/>
  <c r="O143" i="19"/>
  <c r="Y6" i="19"/>
  <c r="L82" i="19"/>
  <c r="L74" i="19"/>
  <c r="J116" i="19"/>
  <c r="J140" i="19" s="1"/>
  <c r="I140" i="13"/>
  <c r="L61" i="19"/>
  <c r="Z94" i="19"/>
  <c r="L82" i="13"/>
  <c r="L97" i="13"/>
  <c r="L97" i="19"/>
  <c r="L6" i="13"/>
  <c r="L143" i="19"/>
  <c r="Q8" i="3"/>
  <c r="L146" i="13" s="1"/>
  <c r="F6" i="21" s="1"/>
  <c r="L6" i="19"/>
  <c r="L25" i="19" s="1"/>
  <c r="L26" i="19" s="1"/>
  <c r="L146" i="19"/>
  <c r="F19" i="21" s="1"/>
  <c r="Q5" i="3"/>
  <c r="L143" i="13" s="1"/>
  <c r="K94" i="13"/>
  <c r="K94" i="19"/>
  <c r="K97" i="13"/>
  <c r="K97" i="19"/>
  <c r="I22" i="13"/>
  <c r="I25" i="13" s="1"/>
  <c r="I22" i="17"/>
  <c r="I25" i="17" s="1"/>
  <c r="I26" i="17" s="1"/>
  <c r="I156" i="17" s="1"/>
  <c r="L74" i="13"/>
  <c r="L90" i="19"/>
  <c r="L90" i="13"/>
  <c r="L111" i="19"/>
  <c r="Q13" i="6"/>
  <c r="M20" i="3"/>
  <c r="W145" i="19" s="1"/>
  <c r="H145" i="19"/>
  <c r="H147" i="19" s="1"/>
  <c r="N7" i="3"/>
  <c r="L61" i="13"/>
  <c r="L89" i="19"/>
  <c r="L89" i="13"/>
  <c r="K83" i="19"/>
  <c r="C20" i="3"/>
  <c r="M145" i="19" s="1"/>
  <c r="H20" i="3"/>
  <c r="R145" i="19" s="1"/>
  <c r="N20" i="3"/>
  <c r="X145" i="19" s="1"/>
  <c r="F20" i="3"/>
  <c r="P145" i="19" s="1"/>
  <c r="K20" i="3"/>
  <c r="U145" i="19" s="1"/>
  <c r="G20" i="3"/>
  <c r="Q145" i="19" s="1"/>
  <c r="L20" i="3"/>
  <c r="V145" i="19" s="1"/>
  <c r="D20" i="3"/>
  <c r="N145" i="19" s="1"/>
  <c r="J20" i="3"/>
  <c r="T145" i="19" s="1"/>
  <c r="Q10" i="4"/>
  <c r="E18" i="3"/>
  <c r="I18" i="3"/>
  <c r="M18" i="3"/>
  <c r="E20" i="3"/>
  <c r="O145" i="19" s="1"/>
  <c r="I20" i="3"/>
  <c r="S145" i="19" s="1"/>
  <c r="D18" i="3"/>
  <c r="H18" i="3"/>
  <c r="E63" i="21" l="1"/>
  <c r="F62" i="21" s="1"/>
  <c r="L157" i="22"/>
  <c r="F55" i="21"/>
  <c r="F61" i="21" s="1"/>
  <c r="L153" i="13"/>
  <c r="I26" i="13"/>
  <c r="C28" i="23"/>
  <c r="X155" i="17"/>
  <c r="J157" i="18"/>
  <c r="D30" i="21"/>
  <c r="D36" i="21" s="1"/>
  <c r="D38" i="21" s="1"/>
  <c r="E37" i="21" s="1"/>
  <c r="I157" i="17"/>
  <c r="C43" i="21"/>
  <c r="C49" i="21" s="1"/>
  <c r="Z26" i="18"/>
  <c r="Z146" i="18"/>
  <c r="K119" i="18"/>
  <c r="K139" i="18" s="1"/>
  <c r="K140" i="18" s="1"/>
  <c r="K155" i="18" s="1"/>
  <c r="K156" i="18" s="1"/>
  <c r="K119" i="13"/>
  <c r="X147" i="18"/>
  <c r="X155" i="18" s="1"/>
  <c r="X156" i="18" s="1"/>
  <c r="X157" i="18" s="1"/>
  <c r="U147" i="18"/>
  <c r="U155" i="18" s="1"/>
  <c r="U156" i="18" s="1"/>
  <c r="U157" i="18" s="1"/>
  <c r="T147" i="18"/>
  <c r="T155" i="18" s="1"/>
  <c r="T156" i="18" s="1"/>
  <c r="T157" i="18" s="1"/>
  <c r="P155" i="18"/>
  <c r="P156" i="18" s="1"/>
  <c r="P157" i="18" s="1"/>
  <c r="Q147" i="18"/>
  <c r="Q155" i="18" s="1"/>
  <c r="Q156" i="18" s="1"/>
  <c r="Q157" i="18" s="1"/>
  <c r="P155" i="17"/>
  <c r="U155" i="17"/>
  <c r="P147" i="19"/>
  <c r="X147" i="19"/>
  <c r="Q155" i="17"/>
  <c r="Y152" i="18"/>
  <c r="Y154" i="19"/>
  <c r="Z154" i="19" s="1"/>
  <c r="T155" i="17"/>
  <c r="V155" i="17"/>
  <c r="Y152" i="17"/>
  <c r="Z152" i="17" s="1"/>
  <c r="Y152" i="19"/>
  <c r="Z152" i="19" s="1"/>
  <c r="Y154" i="18"/>
  <c r="Y144" i="19"/>
  <c r="Z144" i="19" s="1"/>
  <c r="Y154" i="17"/>
  <c r="Z154" i="17" s="1"/>
  <c r="Y144" i="18"/>
  <c r="Q147" i="19"/>
  <c r="J140" i="13"/>
  <c r="V147" i="19"/>
  <c r="V147" i="18"/>
  <c r="V155" i="18" s="1"/>
  <c r="V156" i="18" s="1"/>
  <c r="V157" i="18" s="1"/>
  <c r="T147" i="19"/>
  <c r="L83" i="19"/>
  <c r="Z19" i="17"/>
  <c r="M147" i="17"/>
  <c r="M155" i="17" s="1"/>
  <c r="Z8" i="18"/>
  <c r="Y25" i="18"/>
  <c r="Z6" i="19"/>
  <c r="Y25" i="19"/>
  <c r="U147" i="19"/>
  <c r="Z26" i="19"/>
  <c r="L83" i="13"/>
  <c r="K116" i="19"/>
  <c r="K140" i="19" s="1"/>
  <c r="Y145" i="19"/>
  <c r="L94" i="13"/>
  <c r="L116" i="13" s="1"/>
  <c r="L94" i="19"/>
  <c r="L116" i="19" s="1"/>
  <c r="I145" i="19"/>
  <c r="I147" i="19" s="1"/>
  <c r="O7" i="3"/>
  <c r="I145" i="13"/>
  <c r="I147" i="13" s="1"/>
  <c r="O147" i="19"/>
  <c r="O147" i="18"/>
  <c r="O155" i="18" s="1"/>
  <c r="O156" i="18" s="1"/>
  <c r="O157" i="18" s="1"/>
  <c r="O147" i="17"/>
  <c r="O155" i="17" s="1"/>
  <c r="M147" i="18"/>
  <c r="M155" i="18" s="1"/>
  <c r="M156" i="18" s="1"/>
  <c r="M157" i="18" s="1"/>
  <c r="W147" i="19"/>
  <c r="W147" i="18"/>
  <c r="W155" i="18" s="1"/>
  <c r="W156" i="18" s="1"/>
  <c r="W157" i="18" s="1"/>
  <c r="W147" i="17"/>
  <c r="W155" i="17" s="1"/>
  <c r="M147" i="19"/>
  <c r="R147" i="17"/>
  <c r="R155" i="17" s="1"/>
  <c r="R147" i="18"/>
  <c r="R155" i="18" s="1"/>
  <c r="R156" i="18" s="1"/>
  <c r="R157" i="18" s="1"/>
  <c r="R147" i="19"/>
  <c r="N147" i="19"/>
  <c r="N147" i="18"/>
  <c r="N155" i="18" s="1"/>
  <c r="N156" i="18" s="1"/>
  <c r="N157" i="18" s="1"/>
  <c r="S147" i="19"/>
  <c r="S147" i="18"/>
  <c r="S155" i="18" s="1"/>
  <c r="S156" i="18" s="1"/>
  <c r="S157" i="18" s="1"/>
  <c r="S147" i="17"/>
  <c r="S155" i="17" s="1"/>
  <c r="L119" i="13"/>
  <c r="K139" i="13"/>
  <c r="F63" i="21" l="1"/>
  <c r="AA154" i="13"/>
  <c r="Z144" i="18"/>
  <c r="AA144" i="13"/>
  <c r="Z152" i="18"/>
  <c r="AA152" i="13"/>
  <c r="K157" i="18"/>
  <c r="E30" i="21"/>
  <c r="E36" i="21" s="1"/>
  <c r="E38" i="21" s="1"/>
  <c r="F37" i="21" s="1"/>
  <c r="Z25" i="18"/>
  <c r="Z154" i="18"/>
  <c r="L140" i="19"/>
  <c r="Z25" i="19"/>
  <c r="J22" i="13"/>
  <c r="J25" i="13" s="1"/>
  <c r="J22" i="17"/>
  <c r="J25" i="17" s="1"/>
  <c r="J26" i="17" s="1"/>
  <c r="J156" i="17" s="1"/>
  <c r="P7" i="3"/>
  <c r="J145" i="19"/>
  <c r="J147" i="19" s="1"/>
  <c r="J145" i="13"/>
  <c r="J147" i="13" s="1"/>
  <c r="L139" i="13"/>
  <c r="L140" i="13" s="1"/>
  <c r="L119" i="18"/>
  <c r="L139" i="18" s="1"/>
  <c r="L140" i="18" s="1"/>
  <c r="L155" i="18" s="1"/>
  <c r="L156" i="18" s="1"/>
  <c r="Z145" i="19"/>
  <c r="N147" i="17"/>
  <c r="N155" i="17" s="1"/>
  <c r="Y143" i="17"/>
  <c r="Y143" i="18"/>
  <c r="Y143" i="19"/>
  <c r="J26" i="13" l="1"/>
  <c r="D28" i="23"/>
  <c r="J157" i="17"/>
  <c r="D43" i="21"/>
  <c r="D49" i="21" s="1"/>
  <c r="L157" i="18"/>
  <c r="F30" i="21"/>
  <c r="F36" i="21" s="1"/>
  <c r="F38" i="21" s="1"/>
  <c r="L22" i="13"/>
  <c r="L25" i="13" s="1"/>
  <c r="L22" i="17"/>
  <c r="L25" i="17" s="1"/>
  <c r="L26" i="17" s="1"/>
  <c r="L156" i="17" s="1"/>
  <c r="Q7" i="3"/>
  <c r="K145" i="19"/>
  <c r="K147" i="19" s="1"/>
  <c r="K145" i="13"/>
  <c r="K147" i="13" s="1"/>
  <c r="K22" i="13"/>
  <c r="K25" i="13" s="1"/>
  <c r="K22" i="17"/>
  <c r="K25" i="17" s="1"/>
  <c r="K26" i="17" s="1"/>
  <c r="K156" i="17" s="1"/>
  <c r="Z143" i="19"/>
  <c r="Y147" i="19"/>
  <c r="Z143" i="18"/>
  <c r="Y147" i="18"/>
  <c r="Z143" i="17"/>
  <c r="Y147" i="17"/>
  <c r="M10" i="9"/>
  <c r="L26" i="13" l="1"/>
  <c r="F28" i="23"/>
  <c r="K26" i="13"/>
  <c r="E28" i="23"/>
  <c r="L157" i="17"/>
  <c r="F43" i="21"/>
  <c r="F49" i="21" s="1"/>
  <c r="K157" i="17"/>
  <c r="E43" i="21"/>
  <c r="E49" i="21" s="1"/>
  <c r="L145" i="19"/>
  <c r="L147" i="19" s="1"/>
  <c r="L145" i="13"/>
  <c r="L147" i="13" s="1"/>
  <c r="Z147" i="18"/>
  <c r="Y155" i="18"/>
  <c r="Z147" i="17"/>
  <c r="Y155" i="17"/>
  <c r="Z147" i="19"/>
  <c r="X154" i="13"/>
  <c r="W154" i="13"/>
  <c r="V154" i="13"/>
  <c r="U154" i="13"/>
  <c r="T154" i="13"/>
  <c r="S154" i="13"/>
  <c r="R154" i="13"/>
  <c r="Q154" i="13"/>
  <c r="P154" i="13"/>
  <c r="O154" i="13"/>
  <c r="N154" i="13"/>
  <c r="M154" i="13"/>
  <c r="X152" i="13"/>
  <c r="W152" i="13"/>
  <c r="V152" i="13"/>
  <c r="U152" i="13"/>
  <c r="T152" i="13"/>
  <c r="S152" i="13"/>
  <c r="R152" i="13"/>
  <c r="Q152" i="13"/>
  <c r="P152" i="13"/>
  <c r="O152" i="13"/>
  <c r="N152" i="13"/>
  <c r="M152" i="13"/>
  <c r="X150" i="13"/>
  <c r="W150" i="13"/>
  <c r="V150" i="13"/>
  <c r="U150" i="13"/>
  <c r="T150" i="13"/>
  <c r="S150" i="13"/>
  <c r="R150" i="13"/>
  <c r="Q150" i="13"/>
  <c r="P150" i="13"/>
  <c r="O150" i="13"/>
  <c r="N150" i="13"/>
  <c r="M150" i="13"/>
  <c r="X149" i="13"/>
  <c r="W149" i="13"/>
  <c r="W151" i="13" s="1"/>
  <c r="V149" i="13"/>
  <c r="V151" i="13" s="1"/>
  <c r="U149" i="13"/>
  <c r="U151" i="13" s="1"/>
  <c r="T149" i="13"/>
  <c r="T151" i="13" s="1"/>
  <c r="S149" i="13"/>
  <c r="S151" i="13" s="1"/>
  <c r="R149" i="13"/>
  <c r="R151" i="13" s="1"/>
  <c r="Q149" i="13"/>
  <c r="Q151" i="13" s="1"/>
  <c r="P149" i="13"/>
  <c r="P151" i="13" s="1"/>
  <c r="O149" i="13"/>
  <c r="O151" i="13" s="1"/>
  <c r="N149" i="13"/>
  <c r="N151" i="13" s="1"/>
  <c r="M149" i="13"/>
  <c r="M151" i="13" s="1"/>
  <c r="X146" i="13"/>
  <c r="W146" i="13"/>
  <c r="V146" i="13"/>
  <c r="U146" i="13"/>
  <c r="T146" i="13"/>
  <c r="S146" i="13"/>
  <c r="R146" i="13"/>
  <c r="Q146" i="13"/>
  <c r="P146" i="13"/>
  <c r="O146" i="13"/>
  <c r="N146" i="13"/>
  <c r="M146" i="13"/>
  <c r="X145" i="13"/>
  <c r="W145" i="13"/>
  <c r="V145" i="13"/>
  <c r="U145" i="13"/>
  <c r="T145" i="13"/>
  <c r="S145" i="13"/>
  <c r="R145" i="13"/>
  <c r="Q145" i="13"/>
  <c r="P145" i="13"/>
  <c r="O145" i="13"/>
  <c r="N145" i="13"/>
  <c r="M145" i="13"/>
  <c r="X144" i="13"/>
  <c r="W144" i="13"/>
  <c r="V144" i="13"/>
  <c r="U144" i="13"/>
  <c r="T144" i="13"/>
  <c r="S144" i="13"/>
  <c r="R144" i="13"/>
  <c r="Q144" i="13"/>
  <c r="P144" i="13"/>
  <c r="O144" i="13"/>
  <c r="N144" i="13"/>
  <c r="M144" i="13"/>
  <c r="X143" i="13"/>
  <c r="W143" i="13"/>
  <c r="V143" i="13"/>
  <c r="U143" i="13"/>
  <c r="T143" i="13"/>
  <c r="S143" i="13"/>
  <c r="R143" i="13"/>
  <c r="Q143" i="13"/>
  <c r="P143" i="13"/>
  <c r="O143" i="13"/>
  <c r="N143" i="13"/>
  <c r="M143" i="13"/>
  <c r="X142" i="13"/>
  <c r="X147" i="13" s="1"/>
  <c r="W142" i="13"/>
  <c r="V142" i="13"/>
  <c r="V147" i="13" s="1"/>
  <c r="U142" i="13"/>
  <c r="U147" i="13" s="1"/>
  <c r="T142" i="13"/>
  <c r="T147" i="13" s="1"/>
  <c r="S142" i="13"/>
  <c r="R142" i="13"/>
  <c r="R147" i="13" s="1"/>
  <c r="Q142" i="13"/>
  <c r="Q147" i="13" s="1"/>
  <c r="P142" i="13"/>
  <c r="P147" i="13" s="1"/>
  <c r="O142" i="13"/>
  <c r="N142" i="13"/>
  <c r="M142" i="13"/>
  <c r="X138" i="13"/>
  <c r="W138" i="13"/>
  <c r="V138" i="13"/>
  <c r="U138" i="13"/>
  <c r="T138" i="13"/>
  <c r="S138" i="13"/>
  <c r="R138" i="13"/>
  <c r="Q138" i="13"/>
  <c r="P138" i="13"/>
  <c r="O138" i="13"/>
  <c r="N138" i="13"/>
  <c r="M138" i="13"/>
  <c r="X137" i="13"/>
  <c r="W137" i="13"/>
  <c r="V137" i="13"/>
  <c r="U137" i="13"/>
  <c r="T137" i="13"/>
  <c r="S137" i="13"/>
  <c r="R137" i="13"/>
  <c r="Q137" i="13"/>
  <c r="P137" i="13"/>
  <c r="O137" i="13"/>
  <c r="N137" i="13"/>
  <c r="M137" i="13"/>
  <c r="X136" i="13"/>
  <c r="W136" i="13"/>
  <c r="V136" i="13"/>
  <c r="U136" i="13"/>
  <c r="T136" i="13"/>
  <c r="S136" i="13"/>
  <c r="R136" i="13"/>
  <c r="Q136" i="13"/>
  <c r="P136" i="13"/>
  <c r="O136" i="13"/>
  <c r="N136" i="13"/>
  <c r="M136" i="13"/>
  <c r="X135" i="13"/>
  <c r="W135" i="13"/>
  <c r="V135" i="13"/>
  <c r="U135" i="13"/>
  <c r="T135" i="13"/>
  <c r="S135" i="13"/>
  <c r="R135" i="13"/>
  <c r="Q135" i="13"/>
  <c r="P135" i="13"/>
  <c r="O135" i="13"/>
  <c r="N135" i="13"/>
  <c r="M135" i="13"/>
  <c r="X134" i="13"/>
  <c r="W134" i="13"/>
  <c r="V134" i="13"/>
  <c r="U134" i="13"/>
  <c r="T134" i="13"/>
  <c r="S134" i="13"/>
  <c r="R134" i="13"/>
  <c r="Q134" i="13"/>
  <c r="P134" i="13"/>
  <c r="O134" i="13"/>
  <c r="N134" i="13"/>
  <c r="M134" i="13"/>
  <c r="X133" i="13"/>
  <c r="W133" i="13"/>
  <c r="V133" i="13"/>
  <c r="U133" i="13"/>
  <c r="T133" i="13"/>
  <c r="S133" i="13"/>
  <c r="R133" i="13"/>
  <c r="Q133" i="13"/>
  <c r="P133" i="13"/>
  <c r="O133" i="13"/>
  <c r="N133" i="13"/>
  <c r="M133" i="13"/>
  <c r="X132" i="13"/>
  <c r="W132" i="13"/>
  <c r="V132" i="13"/>
  <c r="U132" i="13"/>
  <c r="T132" i="13"/>
  <c r="S132" i="13"/>
  <c r="R132" i="13"/>
  <c r="Q132" i="13"/>
  <c r="P132" i="13"/>
  <c r="O132" i="13"/>
  <c r="N132" i="13"/>
  <c r="M132" i="13"/>
  <c r="X131" i="13"/>
  <c r="W131" i="13"/>
  <c r="V131" i="13"/>
  <c r="U131" i="13"/>
  <c r="T131" i="13"/>
  <c r="S131" i="13"/>
  <c r="R131" i="13"/>
  <c r="Q131" i="13"/>
  <c r="P131" i="13"/>
  <c r="O131" i="13"/>
  <c r="N131" i="13"/>
  <c r="M131" i="13"/>
  <c r="X130" i="13"/>
  <c r="W130" i="13"/>
  <c r="V130" i="13"/>
  <c r="U130" i="13"/>
  <c r="T130" i="13"/>
  <c r="S130" i="13"/>
  <c r="R130" i="13"/>
  <c r="Q130" i="13"/>
  <c r="P130" i="13"/>
  <c r="O130" i="13"/>
  <c r="N130" i="13"/>
  <c r="M130" i="13"/>
  <c r="X129" i="13"/>
  <c r="W129" i="13"/>
  <c r="V129" i="13"/>
  <c r="U129" i="13"/>
  <c r="T129" i="13"/>
  <c r="S129" i="13"/>
  <c r="R129" i="13"/>
  <c r="Q129" i="13"/>
  <c r="P129" i="13"/>
  <c r="O129" i="13"/>
  <c r="N129" i="13"/>
  <c r="M129" i="13"/>
  <c r="X128" i="13"/>
  <c r="W128" i="13"/>
  <c r="V128" i="13"/>
  <c r="U128" i="13"/>
  <c r="T128" i="13"/>
  <c r="S128" i="13"/>
  <c r="R128" i="13"/>
  <c r="Q128" i="13"/>
  <c r="P128" i="13"/>
  <c r="O128" i="13"/>
  <c r="N128" i="13"/>
  <c r="M128" i="13"/>
  <c r="X127" i="13"/>
  <c r="W127" i="13"/>
  <c r="V127" i="13"/>
  <c r="U127" i="13"/>
  <c r="T127" i="13"/>
  <c r="S127" i="13"/>
  <c r="R127" i="13"/>
  <c r="Q127" i="13"/>
  <c r="P127" i="13"/>
  <c r="O127" i="13"/>
  <c r="N127" i="13"/>
  <c r="M127" i="13"/>
  <c r="X126" i="13"/>
  <c r="W126" i="13"/>
  <c r="V126" i="13"/>
  <c r="U126" i="13"/>
  <c r="T126" i="13"/>
  <c r="S126" i="13"/>
  <c r="R126" i="13"/>
  <c r="Q126" i="13"/>
  <c r="P126" i="13"/>
  <c r="O126" i="13"/>
  <c r="N126" i="13"/>
  <c r="M126" i="13"/>
  <c r="X125" i="13"/>
  <c r="W125" i="13"/>
  <c r="V125" i="13"/>
  <c r="U125" i="13"/>
  <c r="T125" i="13"/>
  <c r="S125" i="13"/>
  <c r="R125" i="13"/>
  <c r="Q125" i="13"/>
  <c r="P125" i="13"/>
  <c r="O125" i="13"/>
  <c r="N125" i="13"/>
  <c r="M125" i="13"/>
  <c r="X124" i="13"/>
  <c r="W124" i="13"/>
  <c r="V124" i="13"/>
  <c r="U124" i="13"/>
  <c r="T124" i="13"/>
  <c r="S124" i="13"/>
  <c r="R124" i="13"/>
  <c r="Q124" i="13"/>
  <c r="P124" i="13"/>
  <c r="O124" i="13"/>
  <c r="N124" i="13"/>
  <c r="M124" i="13"/>
  <c r="X123" i="13"/>
  <c r="W123" i="13"/>
  <c r="V123" i="13"/>
  <c r="U123" i="13"/>
  <c r="T123" i="13"/>
  <c r="S123" i="13"/>
  <c r="R123" i="13"/>
  <c r="Q123" i="13"/>
  <c r="P123" i="13"/>
  <c r="O123" i="13"/>
  <c r="N123" i="13"/>
  <c r="M123" i="13"/>
  <c r="X122" i="13"/>
  <c r="W122" i="13"/>
  <c r="V122" i="13"/>
  <c r="U122" i="13"/>
  <c r="T122" i="13"/>
  <c r="S122" i="13"/>
  <c r="R122" i="13"/>
  <c r="Q122" i="13"/>
  <c r="P122" i="13"/>
  <c r="O122" i="13"/>
  <c r="N122" i="13"/>
  <c r="M122" i="13"/>
  <c r="X121" i="13"/>
  <c r="W121" i="13"/>
  <c r="V121" i="13"/>
  <c r="U121" i="13"/>
  <c r="T121" i="13"/>
  <c r="S121" i="13"/>
  <c r="R121" i="13"/>
  <c r="Q121" i="13"/>
  <c r="P121" i="13"/>
  <c r="O121" i="13"/>
  <c r="N121" i="13"/>
  <c r="M121" i="13"/>
  <c r="X120" i="13"/>
  <c r="W120" i="13"/>
  <c r="V120" i="13"/>
  <c r="U120" i="13"/>
  <c r="T120" i="13"/>
  <c r="S120" i="13"/>
  <c r="R120" i="13"/>
  <c r="Q120" i="13"/>
  <c r="P120" i="13"/>
  <c r="O120" i="13"/>
  <c r="N120" i="13"/>
  <c r="M120" i="13"/>
  <c r="X118" i="13"/>
  <c r="W118" i="13"/>
  <c r="V118" i="13"/>
  <c r="U118" i="13"/>
  <c r="U139" i="13" s="1"/>
  <c r="T118" i="13"/>
  <c r="S118" i="13"/>
  <c r="R118" i="13"/>
  <c r="R139" i="13" s="1"/>
  <c r="Q118" i="13"/>
  <c r="P118" i="13"/>
  <c r="O118" i="13"/>
  <c r="N118" i="13"/>
  <c r="N139" i="13" s="1"/>
  <c r="M118" i="13"/>
  <c r="X115" i="13"/>
  <c r="W115" i="13"/>
  <c r="V115" i="13"/>
  <c r="U115" i="13"/>
  <c r="T115" i="13"/>
  <c r="S115" i="13"/>
  <c r="R115" i="13"/>
  <c r="Q115" i="13"/>
  <c r="P115" i="13"/>
  <c r="O115" i="13"/>
  <c r="N115" i="13"/>
  <c r="M115" i="13"/>
  <c r="X114" i="13"/>
  <c r="W114" i="13"/>
  <c r="V114" i="13"/>
  <c r="U114" i="13"/>
  <c r="T114" i="13"/>
  <c r="S114" i="13"/>
  <c r="R114" i="13"/>
  <c r="Q114" i="13"/>
  <c r="P114" i="13"/>
  <c r="O114" i="13"/>
  <c r="N114" i="13"/>
  <c r="M114" i="13"/>
  <c r="X113" i="13"/>
  <c r="W113" i="13"/>
  <c r="V113" i="13"/>
  <c r="U113" i="13"/>
  <c r="T113" i="13"/>
  <c r="S113" i="13"/>
  <c r="R113" i="13"/>
  <c r="Q113" i="13"/>
  <c r="P113" i="13"/>
  <c r="O113" i="13"/>
  <c r="N113" i="13"/>
  <c r="M113" i="13"/>
  <c r="X112" i="13"/>
  <c r="W112" i="13"/>
  <c r="V112" i="13"/>
  <c r="U112" i="13"/>
  <c r="T112" i="13"/>
  <c r="S112" i="13"/>
  <c r="R112" i="13"/>
  <c r="Q112" i="13"/>
  <c r="P112" i="13"/>
  <c r="O112" i="13"/>
  <c r="N112" i="13"/>
  <c r="M112" i="13"/>
  <c r="X111" i="13"/>
  <c r="W111" i="13"/>
  <c r="V111" i="13"/>
  <c r="U111" i="13"/>
  <c r="T111" i="13"/>
  <c r="S111" i="13"/>
  <c r="R111" i="13"/>
  <c r="Q111" i="13"/>
  <c r="P111" i="13"/>
  <c r="O111" i="13"/>
  <c r="N111" i="13"/>
  <c r="M111" i="13"/>
  <c r="X110" i="13"/>
  <c r="W110" i="13"/>
  <c r="V110" i="13"/>
  <c r="U110" i="13"/>
  <c r="T110" i="13"/>
  <c r="S110" i="13"/>
  <c r="R110" i="13"/>
  <c r="Q110" i="13"/>
  <c r="P110" i="13"/>
  <c r="O110" i="13"/>
  <c r="N110" i="13"/>
  <c r="M110" i="13"/>
  <c r="X109" i="13"/>
  <c r="W109" i="13"/>
  <c r="V109" i="13"/>
  <c r="U109" i="13"/>
  <c r="T109" i="13"/>
  <c r="S109" i="13"/>
  <c r="R109" i="13"/>
  <c r="Q109" i="13"/>
  <c r="P109" i="13"/>
  <c r="O109" i="13"/>
  <c r="N109" i="13"/>
  <c r="M109" i="13"/>
  <c r="X108" i="13"/>
  <c r="W108" i="13"/>
  <c r="V108" i="13"/>
  <c r="U108" i="13"/>
  <c r="T108" i="13"/>
  <c r="S108" i="13"/>
  <c r="R108" i="13"/>
  <c r="Q108" i="13"/>
  <c r="P108" i="13"/>
  <c r="O108" i="13"/>
  <c r="N108" i="13"/>
  <c r="M108" i="13"/>
  <c r="X107" i="13"/>
  <c r="W107" i="13"/>
  <c r="V107" i="13"/>
  <c r="U107" i="13"/>
  <c r="T107" i="13"/>
  <c r="S107" i="13"/>
  <c r="R107" i="13"/>
  <c r="Q107" i="13"/>
  <c r="P107" i="13"/>
  <c r="O107" i="13"/>
  <c r="N107" i="13"/>
  <c r="M107" i="13"/>
  <c r="X106" i="13"/>
  <c r="W106" i="13"/>
  <c r="V106" i="13"/>
  <c r="U106" i="13"/>
  <c r="T106" i="13"/>
  <c r="S106" i="13"/>
  <c r="R106" i="13"/>
  <c r="Q106" i="13"/>
  <c r="P106" i="13"/>
  <c r="O106" i="13"/>
  <c r="N106" i="13"/>
  <c r="M106" i="13"/>
  <c r="X105" i="13"/>
  <c r="W105" i="13"/>
  <c r="V105" i="13"/>
  <c r="U105" i="13"/>
  <c r="T105" i="13"/>
  <c r="S105" i="13"/>
  <c r="R105" i="13"/>
  <c r="Q105" i="13"/>
  <c r="P105" i="13"/>
  <c r="O105" i="13"/>
  <c r="N105" i="13"/>
  <c r="M105" i="13"/>
  <c r="X104" i="13"/>
  <c r="W104" i="13"/>
  <c r="V104" i="13"/>
  <c r="U104" i="13"/>
  <c r="T104" i="13"/>
  <c r="S104" i="13"/>
  <c r="R104" i="13"/>
  <c r="Q104" i="13"/>
  <c r="P104" i="13"/>
  <c r="O104" i="13"/>
  <c r="N104" i="13"/>
  <c r="M104" i="13"/>
  <c r="X103" i="13"/>
  <c r="W103" i="13"/>
  <c r="V103" i="13"/>
  <c r="U103" i="13"/>
  <c r="T103" i="13"/>
  <c r="S103" i="13"/>
  <c r="R103" i="13"/>
  <c r="Q103" i="13"/>
  <c r="P103" i="13"/>
  <c r="O103" i="13"/>
  <c r="N103" i="13"/>
  <c r="M103" i="13"/>
  <c r="X102" i="13"/>
  <c r="W102" i="13"/>
  <c r="V102" i="13"/>
  <c r="U102" i="13"/>
  <c r="T102" i="13"/>
  <c r="S102" i="13"/>
  <c r="R102" i="13"/>
  <c r="Q102" i="13"/>
  <c r="P102" i="13"/>
  <c r="O102" i="13"/>
  <c r="N102" i="13"/>
  <c r="M102" i="13"/>
  <c r="X101" i="13"/>
  <c r="W101" i="13"/>
  <c r="V101" i="13"/>
  <c r="U101" i="13"/>
  <c r="T101" i="13"/>
  <c r="S101" i="13"/>
  <c r="R101" i="13"/>
  <c r="Q101" i="13"/>
  <c r="P101" i="13"/>
  <c r="O101" i="13"/>
  <c r="N101" i="13"/>
  <c r="M101" i="13"/>
  <c r="X100" i="13"/>
  <c r="W100" i="13"/>
  <c r="V100" i="13"/>
  <c r="U100" i="13"/>
  <c r="T100" i="13"/>
  <c r="S100" i="13"/>
  <c r="R100" i="13"/>
  <c r="Q100" i="13"/>
  <c r="P100" i="13"/>
  <c r="O100" i="13"/>
  <c r="N100" i="13"/>
  <c r="M100" i="13"/>
  <c r="X99" i="13"/>
  <c r="W99" i="13"/>
  <c r="V99" i="13"/>
  <c r="U99" i="13"/>
  <c r="T99" i="13"/>
  <c r="S99" i="13"/>
  <c r="R99" i="13"/>
  <c r="Q99" i="13"/>
  <c r="P99" i="13"/>
  <c r="O99" i="13"/>
  <c r="N99" i="13"/>
  <c r="M99" i="13"/>
  <c r="X98" i="13"/>
  <c r="W98" i="13"/>
  <c r="V98" i="13"/>
  <c r="U98" i="13"/>
  <c r="T98" i="13"/>
  <c r="S98" i="13"/>
  <c r="R98" i="13"/>
  <c r="Q98" i="13"/>
  <c r="P98" i="13"/>
  <c r="O98" i="13"/>
  <c r="N98" i="13"/>
  <c r="M98" i="13"/>
  <c r="X96" i="13"/>
  <c r="W96" i="13"/>
  <c r="V96" i="13"/>
  <c r="U96" i="13"/>
  <c r="T96" i="13"/>
  <c r="S96" i="13"/>
  <c r="R96" i="13"/>
  <c r="Q96" i="13"/>
  <c r="P96" i="13"/>
  <c r="O96" i="13"/>
  <c r="N96" i="13"/>
  <c r="M96" i="13"/>
  <c r="X95" i="13"/>
  <c r="W95" i="13"/>
  <c r="V95" i="13"/>
  <c r="U95" i="13"/>
  <c r="T95" i="13"/>
  <c r="S95" i="13"/>
  <c r="R95" i="13"/>
  <c r="Q95" i="13"/>
  <c r="P95" i="13"/>
  <c r="O95" i="13"/>
  <c r="N95" i="13"/>
  <c r="M95" i="13"/>
  <c r="X94" i="13"/>
  <c r="W94" i="13"/>
  <c r="V94" i="13"/>
  <c r="U94" i="13"/>
  <c r="T94" i="13"/>
  <c r="S94" i="13"/>
  <c r="R94" i="13"/>
  <c r="Q94" i="13"/>
  <c r="P94" i="13"/>
  <c r="O94" i="13"/>
  <c r="N94" i="13"/>
  <c r="M94" i="13"/>
  <c r="X93" i="13"/>
  <c r="W93" i="13"/>
  <c r="V93" i="13"/>
  <c r="U93" i="13"/>
  <c r="T93" i="13"/>
  <c r="S93" i="13"/>
  <c r="R93" i="13"/>
  <c r="Q93" i="13"/>
  <c r="P93" i="13"/>
  <c r="O93" i="13"/>
  <c r="N93" i="13"/>
  <c r="M93" i="13"/>
  <c r="X92" i="13"/>
  <c r="W92" i="13"/>
  <c r="V92" i="13"/>
  <c r="U92" i="13"/>
  <c r="T92" i="13"/>
  <c r="S92" i="13"/>
  <c r="R92" i="13"/>
  <c r="Q92" i="13"/>
  <c r="P92" i="13"/>
  <c r="O92" i="13"/>
  <c r="N92" i="13"/>
  <c r="M92" i="13"/>
  <c r="X91" i="13"/>
  <c r="W91" i="13"/>
  <c r="V91" i="13"/>
  <c r="U91" i="13"/>
  <c r="T91" i="13"/>
  <c r="S91" i="13"/>
  <c r="R91" i="13"/>
  <c r="Q91" i="13"/>
  <c r="P91" i="13"/>
  <c r="O91" i="13"/>
  <c r="N91" i="13"/>
  <c r="M91" i="13"/>
  <c r="X90" i="13"/>
  <c r="W90" i="13"/>
  <c r="V90" i="13"/>
  <c r="U90" i="13"/>
  <c r="T90" i="13"/>
  <c r="S90" i="13"/>
  <c r="R90" i="13"/>
  <c r="Q90" i="13"/>
  <c r="P90" i="13"/>
  <c r="O90" i="13"/>
  <c r="N90" i="13"/>
  <c r="M90" i="13"/>
  <c r="X89" i="13"/>
  <c r="W89" i="13"/>
  <c r="V89" i="13"/>
  <c r="U89" i="13"/>
  <c r="T89" i="13"/>
  <c r="S89" i="13"/>
  <c r="R89" i="13"/>
  <c r="Q89" i="13"/>
  <c r="P89" i="13"/>
  <c r="O89" i="13"/>
  <c r="N89" i="13"/>
  <c r="M89" i="13"/>
  <c r="X88" i="13"/>
  <c r="W88" i="13"/>
  <c r="V88" i="13"/>
  <c r="U88" i="13"/>
  <c r="T88" i="13"/>
  <c r="S88" i="13"/>
  <c r="R88" i="13"/>
  <c r="Q88" i="13"/>
  <c r="P88" i="13"/>
  <c r="O88" i="13"/>
  <c r="N88" i="13"/>
  <c r="M88" i="13"/>
  <c r="X87" i="13"/>
  <c r="W87" i="13"/>
  <c r="V87" i="13"/>
  <c r="U87" i="13"/>
  <c r="T87" i="13"/>
  <c r="S87" i="13"/>
  <c r="R87" i="13"/>
  <c r="Q87" i="13"/>
  <c r="P87" i="13"/>
  <c r="O87" i="13"/>
  <c r="N87" i="13"/>
  <c r="M87" i="13"/>
  <c r="X86" i="13"/>
  <c r="W86" i="13"/>
  <c r="V86" i="13"/>
  <c r="U86" i="13"/>
  <c r="T86" i="13"/>
  <c r="S86" i="13"/>
  <c r="R86" i="13"/>
  <c r="Q86" i="13"/>
  <c r="P86" i="13"/>
  <c r="O86" i="13"/>
  <c r="N86" i="13"/>
  <c r="M86" i="13"/>
  <c r="X85" i="13"/>
  <c r="W85" i="13"/>
  <c r="V85" i="13"/>
  <c r="U85" i="13"/>
  <c r="T85" i="13"/>
  <c r="S85" i="13"/>
  <c r="R85" i="13"/>
  <c r="Q85" i="13"/>
  <c r="P85" i="13"/>
  <c r="O85" i="13"/>
  <c r="N85" i="13"/>
  <c r="M85" i="13"/>
  <c r="X81" i="13"/>
  <c r="W81" i="13"/>
  <c r="V81" i="13"/>
  <c r="U81" i="13"/>
  <c r="T81" i="13"/>
  <c r="S81" i="13"/>
  <c r="R81" i="13"/>
  <c r="Q81" i="13"/>
  <c r="P81" i="13"/>
  <c r="O81" i="13"/>
  <c r="N81" i="13"/>
  <c r="M81" i="13"/>
  <c r="X80" i="13"/>
  <c r="W80" i="13"/>
  <c r="V80" i="13"/>
  <c r="U80" i="13"/>
  <c r="T80" i="13"/>
  <c r="S80" i="13"/>
  <c r="R80" i="13"/>
  <c r="Q80" i="13"/>
  <c r="P80" i="13"/>
  <c r="O80" i="13"/>
  <c r="N80" i="13"/>
  <c r="M80" i="13"/>
  <c r="X79" i="13"/>
  <c r="W79" i="13"/>
  <c r="V79" i="13"/>
  <c r="U79" i="13"/>
  <c r="T79" i="13"/>
  <c r="S79" i="13"/>
  <c r="R79" i="13"/>
  <c r="Q79" i="13"/>
  <c r="P79" i="13"/>
  <c r="O79" i="13"/>
  <c r="N79" i="13"/>
  <c r="M79" i="13"/>
  <c r="X78" i="13"/>
  <c r="W78" i="13"/>
  <c r="V78" i="13"/>
  <c r="V82" i="13" s="1"/>
  <c r="U78" i="13"/>
  <c r="U82" i="13" s="1"/>
  <c r="T78" i="13"/>
  <c r="S78" i="13"/>
  <c r="R78" i="13"/>
  <c r="Q78" i="13"/>
  <c r="P78" i="13"/>
  <c r="O78" i="13"/>
  <c r="O82" i="13" s="1"/>
  <c r="N78" i="13"/>
  <c r="M78" i="13"/>
  <c r="M77" i="13"/>
  <c r="W82" i="13"/>
  <c r="M76" i="13"/>
  <c r="X73" i="13"/>
  <c r="W73" i="13"/>
  <c r="V73" i="13"/>
  <c r="U73" i="13"/>
  <c r="T73" i="13"/>
  <c r="S73" i="13"/>
  <c r="R73" i="13"/>
  <c r="Q73" i="13"/>
  <c r="P73" i="13"/>
  <c r="O73" i="13"/>
  <c r="N73" i="13"/>
  <c r="M73" i="13"/>
  <c r="X72" i="13"/>
  <c r="W72" i="13"/>
  <c r="V72" i="13"/>
  <c r="U72" i="13"/>
  <c r="T72" i="13"/>
  <c r="S72" i="13"/>
  <c r="R72" i="13"/>
  <c r="Q72" i="13"/>
  <c r="P72" i="13"/>
  <c r="O72" i="13"/>
  <c r="N72" i="13"/>
  <c r="M72" i="13"/>
  <c r="X71" i="13"/>
  <c r="W71" i="13"/>
  <c r="V71" i="13"/>
  <c r="U71" i="13"/>
  <c r="T71" i="13"/>
  <c r="S71" i="13"/>
  <c r="R71" i="13"/>
  <c r="Q71" i="13"/>
  <c r="P71" i="13"/>
  <c r="O71" i="13"/>
  <c r="N71" i="13"/>
  <c r="M71" i="13"/>
  <c r="X70" i="13"/>
  <c r="W70" i="13"/>
  <c r="V70" i="13"/>
  <c r="U70" i="13"/>
  <c r="T70" i="13"/>
  <c r="S70" i="13"/>
  <c r="R70" i="13"/>
  <c r="Q70" i="13"/>
  <c r="P70" i="13"/>
  <c r="O70" i="13"/>
  <c r="N70" i="13"/>
  <c r="M70" i="13"/>
  <c r="X69" i="13"/>
  <c r="W69" i="13"/>
  <c r="V69" i="13"/>
  <c r="U69" i="13"/>
  <c r="T69" i="13"/>
  <c r="S69" i="13"/>
  <c r="R69" i="13"/>
  <c r="Q69" i="13"/>
  <c r="P69" i="13"/>
  <c r="O69" i="13"/>
  <c r="N69" i="13"/>
  <c r="M69" i="13"/>
  <c r="X68" i="13"/>
  <c r="W68" i="13"/>
  <c r="V68" i="13"/>
  <c r="U68" i="13"/>
  <c r="T68" i="13"/>
  <c r="S68" i="13"/>
  <c r="R68" i="13"/>
  <c r="Q68" i="13"/>
  <c r="P68" i="13"/>
  <c r="O68" i="13"/>
  <c r="N68" i="13"/>
  <c r="M68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X66" i="13"/>
  <c r="W66" i="13"/>
  <c r="V66" i="13"/>
  <c r="U66" i="13"/>
  <c r="T66" i="13"/>
  <c r="S66" i="13"/>
  <c r="R66" i="13"/>
  <c r="Q66" i="13"/>
  <c r="P66" i="13"/>
  <c r="O66" i="13"/>
  <c r="N66" i="13"/>
  <c r="M66" i="13"/>
  <c r="X65" i="13"/>
  <c r="W65" i="13"/>
  <c r="V65" i="13"/>
  <c r="U65" i="13"/>
  <c r="T65" i="13"/>
  <c r="S65" i="13"/>
  <c r="R65" i="13"/>
  <c r="Q65" i="13"/>
  <c r="P65" i="13"/>
  <c r="O65" i="13"/>
  <c r="N65" i="13"/>
  <c r="M65" i="13"/>
  <c r="X64" i="13"/>
  <c r="W64" i="13"/>
  <c r="W74" i="13" s="1"/>
  <c r="V64" i="13"/>
  <c r="U64" i="13"/>
  <c r="T64" i="13"/>
  <c r="S64" i="13"/>
  <c r="S74" i="13" s="1"/>
  <c r="R64" i="13"/>
  <c r="Q64" i="13"/>
  <c r="P64" i="13"/>
  <c r="O64" i="13"/>
  <c r="O74" i="13" s="1"/>
  <c r="N64" i="13"/>
  <c r="M64" i="13"/>
  <c r="M74" i="13" s="1"/>
  <c r="X60" i="13"/>
  <c r="W60" i="13"/>
  <c r="V60" i="13"/>
  <c r="U60" i="13"/>
  <c r="T60" i="13"/>
  <c r="S60" i="13"/>
  <c r="R60" i="13"/>
  <c r="Q60" i="13"/>
  <c r="P60" i="13"/>
  <c r="O60" i="13"/>
  <c r="N60" i="13"/>
  <c r="M60" i="13"/>
  <c r="X59" i="13"/>
  <c r="W59" i="13"/>
  <c r="V59" i="13"/>
  <c r="U59" i="13"/>
  <c r="T59" i="13"/>
  <c r="S59" i="13"/>
  <c r="R59" i="13"/>
  <c r="Q59" i="13"/>
  <c r="P59" i="13"/>
  <c r="O59" i="13"/>
  <c r="N59" i="13"/>
  <c r="M59" i="13"/>
  <c r="X58" i="13"/>
  <c r="W58" i="13"/>
  <c r="V58" i="13"/>
  <c r="U58" i="13"/>
  <c r="T58" i="13"/>
  <c r="S58" i="13"/>
  <c r="R58" i="13"/>
  <c r="Q58" i="13"/>
  <c r="P58" i="13"/>
  <c r="O58" i="13"/>
  <c r="N58" i="13"/>
  <c r="M58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X55" i="13"/>
  <c r="W55" i="13"/>
  <c r="V55" i="13"/>
  <c r="U55" i="13"/>
  <c r="T55" i="13"/>
  <c r="S55" i="13"/>
  <c r="R55" i="13"/>
  <c r="Q55" i="13"/>
  <c r="P55" i="13"/>
  <c r="O55" i="13"/>
  <c r="N55" i="13"/>
  <c r="M55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X39" i="13"/>
  <c r="X61" i="13" s="1"/>
  <c r="W39" i="13"/>
  <c r="V39" i="13"/>
  <c r="V61" i="13" s="1"/>
  <c r="U39" i="13"/>
  <c r="U61" i="13" s="1"/>
  <c r="T39" i="13"/>
  <c r="T61" i="13" s="1"/>
  <c r="S39" i="13"/>
  <c r="R39" i="13"/>
  <c r="R61" i="13" s="1"/>
  <c r="Q39" i="13"/>
  <c r="Q61" i="13" s="1"/>
  <c r="P39" i="13"/>
  <c r="O39" i="13"/>
  <c r="O61" i="13" s="1"/>
  <c r="N39" i="13"/>
  <c r="N61" i="13" s="1"/>
  <c r="M39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M32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X18" i="13"/>
  <c r="W18" i="13"/>
  <c r="V18" i="13"/>
  <c r="U18" i="13"/>
  <c r="P18" i="13"/>
  <c r="O18" i="13"/>
  <c r="N18" i="13"/>
  <c r="M18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X9" i="13"/>
  <c r="W9" i="13"/>
  <c r="V9" i="13"/>
  <c r="U9" i="13"/>
  <c r="T9" i="13"/>
  <c r="S9" i="13"/>
  <c r="R9" i="13"/>
  <c r="Q9" i="13"/>
  <c r="P9" i="13"/>
  <c r="O9" i="13"/>
  <c r="N9" i="13"/>
  <c r="M9" i="13"/>
  <c r="X8" i="13"/>
  <c r="W8" i="13"/>
  <c r="V8" i="13"/>
  <c r="U8" i="13"/>
  <c r="T8" i="13"/>
  <c r="S8" i="13"/>
  <c r="R8" i="13"/>
  <c r="Q8" i="13"/>
  <c r="P8" i="13"/>
  <c r="O8" i="13"/>
  <c r="N8" i="13"/>
  <c r="M8" i="13"/>
  <c r="X7" i="13"/>
  <c r="W7" i="13"/>
  <c r="V7" i="13"/>
  <c r="U7" i="13"/>
  <c r="T7" i="13"/>
  <c r="S7" i="13"/>
  <c r="R7" i="13"/>
  <c r="Q7" i="13"/>
  <c r="P7" i="13"/>
  <c r="O7" i="13"/>
  <c r="N7" i="13"/>
  <c r="M7" i="13"/>
  <c r="X6" i="13"/>
  <c r="W6" i="13"/>
  <c r="V6" i="13"/>
  <c r="U6" i="13"/>
  <c r="T6" i="13"/>
  <c r="S6" i="13"/>
  <c r="R6" i="13"/>
  <c r="Q6" i="13"/>
  <c r="P6" i="13"/>
  <c r="O6" i="13"/>
  <c r="N6" i="13"/>
  <c r="M6" i="13"/>
  <c r="X151" i="13"/>
  <c r="H24" i="13"/>
  <c r="H23" i="13"/>
  <c r="H21" i="13"/>
  <c r="H20" i="13"/>
  <c r="H19" i="13"/>
  <c r="H17" i="13"/>
  <c r="H16" i="13"/>
  <c r="H15" i="13"/>
  <c r="H14" i="13"/>
  <c r="H13" i="13"/>
  <c r="H12" i="13"/>
  <c r="H11" i="13"/>
  <c r="H10" i="13"/>
  <c r="H9" i="13"/>
  <c r="H8" i="13"/>
  <c r="H7" i="13"/>
  <c r="H6" i="13"/>
  <c r="O48" i="14"/>
  <c r="P48" i="14" s="1"/>
  <c r="O47" i="14"/>
  <c r="P47" i="14" s="1"/>
  <c r="O45" i="14"/>
  <c r="P45" i="14" s="1"/>
  <c r="O44" i="14"/>
  <c r="P44" i="14" s="1"/>
  <c r="O43" i="14"/>
  <c r="P43" i="14" s="1"/>
  <c r="O41" i="14"/>
  <c r="P41" i="14" s="1"/>
  <c r="O40" i="14"/>
  <c r="P40" i="14" s="1"/>
  <c r="O39" i="14"/>
  <c r="P39" i="14" s="1"/>
  <c r="O38" i="14"/>
  <c r="P38" i="14" s="1"/>
  <c r="O37" i="14"/>
  <c r="P37" i="14" s="1"/>
  <c r="O36" i="14"/>
  <c r="P36" i="14" s="1"/>
  <c r="O35" i="14"/>
  <c r="P35" i="14" s="1"/>
  <c r="O34" i="14"/>
  <c r="P34" i="14" s="1"/>
  <c r="O33" i="14"/>
  <c r="P33" i="14" s="1"/>
  <c r="O32" i="14"/>
  <c r="P32" i="14" s="1"/>
  <c r="O31" i="14"/>
  <c r="P31" i="14" s="1"/>
  <c r="O30" i="14"/>
  <c r="Q23" i="14"/>
  <c r="P23" i="14"/>
  <c r="O23" i="14"/>
  <c r="N23" i="14"/>
  <c r="J23" i="14"/>
  <c r="I23" i="14"/>
  <c r="H23" i="14"/>
  <c r="G23" i="14"/>
  <c r="F23" i="14"/>
  <c r="E23" i="14"/>
  <c r="D23" i="14"/>
  <c r="C23" i="14"/>
  <c r="K22" i="14"/>
  <c r="L22" i="14" s="1"/>
  <c r="L21" i="14"/>
  <c r="K20" i="14"/>
  <c r="L20" i="14" s="1"/>
  <c r="L19" i="14"/>
  <c r="L18" i="14"/>
  <c r="L17" i="14"/>
  <c r="K16" i="14"/>
  <c r="K15" i="14"/>
  <c r="L15" i="14" s="1"/>
  <c r="K14" i="14"/>
  <c r="L14" i="14" s="1"/>
  <c r="K13" i="14"/>
  <c r="L13" i="14" s="1"/>
  <c r="K12" i="14"/>
  <c r="L12" i="14" s="1"/>
  <c r="K11" i="14"/>
  <c r="L11" i="14" s="1"/>
  <c r="K10" i="14"/>
  <c r="L10" i="14" s="1"/>
  <c r="K9" i="14"/>
  <c r="L9" i="14" s="1"/>
  <c r="K8" i="14"/>
  <c r="L8" i="14" s="1"/>
  <c r="L7" i="14"/>
  <c r="K6" i="14"/>
  <c r="L6" i="14" s="1"/>
  <c r="K5" i="14"/>
  <c r="L5" i="14" s="1"/>
  <c r="K4" i="14"/>
  <c r="L4" i="14" s="1"/>
  <c r="H30" i="13"/>
  <c r="H154" i="13"/>
  <c r="H152" i="13"/>
  <c r="H150" i="13"/>
  <c r="H149" i="13"/>
  <c r="H146" i="13"/>
  <c r="B6" i="21" s="1"/>
  <c r="H145" i="13"/>
  <c r="H144" i="13"/>
  <c r="H143" i="13"/>
  <c r="H142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8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1" i="13"/>
  <c r="H80" i="13"/>
  <c r="H79" i="13"/>
  <c r="H78" i="13"/>
  <c r="H77" i="13"/>
  <c r="H76" i="13"/>
  <c r="H73" i="13"/>
  <c r="H72" i="13"/>
  <c r="H71" i="13"/>
  <c r="H70" i="13"/>
  <c r="H69" i="13"/>
  <c r="H68" i="13"/>
  <c r="H67" i="13"/>
  <c r="H66" i="13"/>
  <c r="H65" i="13"/>
  <c r="H64" i="13"/>
  <c r="H36" i="13"/>
  <c r="H35" i="13"/>
  <c r="H34" i="13"/>
  <c r="H33" i="13"/>
  <c r="H32" i="13"/>
  <c r="H3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L11" i="3"/>
  <c r="L9" i="3"/>
  <c r="L8" i="3"/>
  <c r="L7" i="3"/>
  <c r="L6" i="3"/>
  <c r="L5" i="3"/>
  <c r="L4" i="3"/>
  <c r="O24" i="3"/>
  <c r="P24" i="3" s="1"/>
  <c r="O22" i="3"/>
  <c r="P22" i="3" s="1"/>
  <c r="O21" i="3"/>
  <c r="P21" i="3" s="1"/>
  <c r="O20" i="3"/>
  <c r="P20" i="3" s="1"/>
  <c r="O19" i="3"/>
  <c r="P19" i="3" s="1"/>
  <c r="O18" i="3"/>
  <c r="O17" i="3"/>
  <c r="P17" i="3" s="1"/>
  <c r="J12" i="3"/>
  <c r="I12" i="3"/>
  <c r="H12" i="3"/>
  <c r="G12" i="3"/>
  <c r="F12" i="3"/>
  <c r="E12" i="3"/>
  <c r="D12" i="3"/>
  <c r="C12" i="3"/>
  <c r="O22" i="9"/>
  <c r="P22" i="9" s="1"/>
  <c r="O21" i="9"/>
  <c r="P21" i="9" s="1"/>
  <c r="O20" i="9"/>
  <c r="P20" i="9" s="1"/>
  <c r="O19" i="9"/>
  <c r="P19" i="9" s="1"/>
  <c r="O18" i="9"/>
  <c r="P18" i="9" s="1"/>
  <c r="O17" i="9"/>
  <c r="P17" i="9" s="1"/>
  <c r="O16" i="9"/>
  <c r="P16" i="9" s="1"/>
  <c r="L6" i="9"/>
  <c r="L7" i="9"/>
  <c r="L8" i="9"/>
  <c r="L9" i="9"/>
  <c r="L10" i="9"/>
  <c r="Q11" i="9"/>
  <c r="P11" i="9"/>
  <c r="O11" i="9"/>
  <c r="N11" i="9"/>
  <c r="M11" i="9"/>
  <c r="K4" i="9"/>
  <c r="L4" i="9" s="1"/>
  <c r="N13" i="8"/>
  <c r="M13" i="8"/>
  <c r="L13" i="8"/>
  <c r="K13" i="8"/>
  <c r="J13" i="8"/>
  <c r="I13" i="8"/>
  <c r="H13" i="8"/>
  <c r="G13" i="8"/>
  <c r="F13" i="8"/>
  <c r="E13" i="8"/>
  <c r="D13" i="8"/>
  <c r="C13" i="8"/>
  <c r="O12" i="8"/>
  <c r="P12" i="8" s="1"/>
  <c r="O11" i="8"/>
  <c r="P11" i="8" s="1"/>
  <c r="Q6" i="8"/>
  <c r="P6" i="8"/>
  <c r="O6" i="8"/>
  <c r="N6" i="8"/>
  <c r="M6" i="8"/>
  <c r="K4" i="8"/>
  <c r="L4" i="8" s="1"/>
  <c r="L6" i="8" s="1"/>
  <c r="N51" i="10"/>
  <c r="M51" i="10"/>
  <c r="L51" i="10"/>
  <c r="K51" i="10"/>
  <c r="J51" i="10"/>
  <c r="I51" i="10"/>
  <c r="H51" i="10"/>
  <c r="G51" i="10"/>
  <c r="F51" i="10"/>
  <c r="E51" i="10"/>
  <c r="D51" i="10"/>
  <c r="C51" i="10"/>
  <c r="O31" i="10"/>
  <c r="P31" i="10" s="1"/>
  <c r="O32" i="10"/>
  <c r="P32" i="10" s="1"/>
  <c r="O33" i="10"/>
  <c r="P33" i="10" s="1"/>
  <c r="O34" i="10"/>
  <c r="P34" i="10" s="1"/>
  <c r="O35" i="10"/>
  <c r="P35" i="10" s="1"/>
  <c r="O36" i="10"/>
  <c r="P36" i="10" s="1"/>
  <c r="O37" i="10"/>
  <c r="P37" i="10" s="1"/>
  <c r="O38" i="10"/>
  <c r="P38" i="10" s="1"/>
  <c r="O39" i="10"/>
  <c r="P39" i="10" s="1"/>
  <c r="O40" i="10"/>
  <c r="P40" i="10" s="1"/>
  <c r="O41" i="10"/>
  <c r="P41" i="10" s="1"/>
  <c r="O42" i="10"/>
  <c r="P42" i="10" s="1"/>
  <c r="O43" i="10"/>
  <c r="P43" i="10" s="1"/>
  <c r="O44" i="10"/>
  <c r="P44" i="10" s="1"/>
  <c r="O45" i="10"/>
  <c r="P45" i="10" s="1"/>
  <c r="O46" i="10"/>
  <c r="P46" i="10" s="1"/>
  <c r="O47" i="10"/>
  <c r="P47" i="10" s="1"/>
  <c r="O48" i="10"/>
  <c r="P48" i="10" s="1"/>
  <c r="O49" i="10"/>
  <c r="P49" i="10" s="1"/>
  <c r="O50" i="10"/>
  <c r="P50" i="10" s="1"/>
  <c r="O30" i="10"/>
  <c r="P30" i="10" s="1"/>
  <c r="K22" i="10"/>
  <c r="L22" i="10" s="1"/>
  <c r="L21" i="10"/>
  <c r="K20" i="10"/>
  <c r="L20" i="10" s="1"/>
  <c r="K18" i="10"/>
  <c r="L18" i="10" s="1"/>
  <c r="K17" i="10"/>
  <c r="L17" i="10" s="1"/>
  <c r="K15" i="10"/>
  <c r="L15" i="10" s="1"/>
  <c r="K14" i="10"/>
  <c r="L14" i="10" s="1"/>
  <c r="L13" i="10"/>
  <c r="K12" i="10"/>
  <c r="L12" i="10" s="1"/>
  <c r="K10" i="10"/>
  <c r="L10" i="10" s="1"/>
  <c r="L9" i="10"/>
  <c r="K8" i="10"/>
  <c r="L8" i="10" s="1"/>
  <c r="L6" i="10"/>
  <c r="K5" i="10"/>
  <c r="L5" i="10" s="1"/>
  <c r="L24" i="10"/>
  <c r="L16" i="10"/>
  <c r="Q25" i="10"/>
  <c r="P25" i="10"/>
  <c r="O25" i="10"/>
  <c r="N25" i="10"/>
  <c r="M25" i="10"/>
  <c r="L23" i="10"/>
  <c r="L19" i="10"/>
  <c r="L11" i="10"/>
  <c r="L7" i="10"/>
  <c r="O70" i="6"/>
  <c r="P70" i="6" s="1"/>
  <c r="O69" i="6"/>
  <c r="P69" i="6" s="1"/>
  <c r="O68" i="6"/>
  <c r="P68" i="6" s="1"/>
  <c r="O67" i="6"/>
  <c r="P67" i="6" s="1"/>
  <c r="O66" i="6"/>
  <c r="P66" i="6" s="1"/>
  <c r="O65" i="6"/>
  <c r="P65" i="6" s="1"/>
  <c r="O64" i="6"/>
  <c r="P64" i="6" s="1"/>
  <c r="O63" i="6"/>
  <c r="P63" i="6" s="1"/>
  <c r="O62" i="6"/>
  <c r="P62" i="6" s="1"/>
  <c r="O61" i="6"/>
  <c r="P61" i="6" s="1"/>
  <c r="O60" i="6"/>
  <c r="P60" i="6" s="1"/>
  <c r="O59" i="6"/>
  <c r="P59" i="6" s="1"/>
  <c r="O58" i="6"/>
  <c r="P58" i="6" s="1"/>
  <c r="O57" i="6"/>
  <c r="P57" i="6" s="1"/>
  <c r="O56" i="6"/>
  <c r="P56" i="6" s="1"/>
  <c r="O55" i="6"/>
  <c r="P55" i="6" s="1"/>
  <c r="O54" i="6"/>
  <c r="P54" i="6" s="1"/>
  <c r="O53" i="6"/>
  <c r="P53" i="6" s="1"/>
  <c r="O51" i="6"/>
  <c r="P51" i="6" s="1"/>
  <c r="O50" i="6"/>
  <c r="P50" i="6" s="1"/>
  <c r="O49" i="6"/>
  <c r="P49" i="6" s="1"/>
  <c r="O48" i="6"/>
  <c r="P48" i="6" s="1"/>
  <c r="O47" i="6"/>
  <c r="P47" i="6" s="1"/>
  <c r="O46" i="6"/>
  <c r="P46" i="6" s="1"/>
  <c r="O45" i="6"/>
  <c r="P45" i="6" s="1"/>
  <c r="O44" i="6"/>
  <c r="P44" i="6" s="1"/>
  <c r="O43" i="6"/>
  <c r="P43" i="6" s="1"/>
  <c r="O42" i="6"/>
  <c r="P42" i="6" s="1"/>
  <c r="O41" i="6"/>
  <c r="P41" i="6" s="1"/>
  <c r="N71" i="6"/>
  <c r="M71" i="6"/>
  <c r="L71" i="6"/>
  <c r="K71" i="6"/>
  <c r="J71" i="6"/>
  <c r="I71" i="6"/>
  <c r="H71" i="6"/>
  <c r="G71" i="6"/>
  <c r="F71" i="6"/>
  <c r="E71" i="6"/>
  <c r="D71" i="6"/>
  <c r="C71" i="6"/>
  <c r="O40" i="6"/>
  <c r="P40" i="6" s="1"/>
  <c r="K33" i="6"/>
  <c r="L33" i="6" s="1"/>
  <c r="K32" i="6"/>
  <c r="L32" i="6" s="1"/>
  <c r="L31" i="6"/>
  <c r="K30" i="6"/>
  <c r="L30" i="6" s="1"/>
  <c r="L28" i="6"/>
  <c r="K26" i="6"/>
  <c r="L26" i="6" s="1"/>
  <c r="K25" i="6"/>
  <c r="L25" i="6" s="1"/>
  <c r="K23" i="6"/>
  <c r="L23" i="6" s="1"/>
  <c r="K22" i="6"/>
  <c r="L22" i="6" s="1"/>
  <c r="K21" i="6"/>
  <c r="L21" i="6" s="1"/>
  <c r="K20" i="6"/>
  <c r="L20" i="6" s="1"/>
  <c r="K17" i="6"/>
  <c r="L17" i="6" s="1"/>
  <c r="K16" i="6"/>
  <c r="L16" i="6" s="1"/>
  <c r="K15" i="6"/>
  <c r="L15" i="6" s="1"/>
  <c r="K14" i="6"/>
  <c r="L14" i="6" s="1"/>
  <c r="K13" i="6"/>
  <c r="L13" i="6" s="1"/>
  <c r="L11" i="6"/>
  <c r="K10" i="6"/>
  <c r="L10" i="6" s="1"/>
  <c r="K9" i="6"/>
  <c r="L9" i="6" s="1"/>
  <c r="K8" i="6"/>
  <c r="L8" i="6" s="1"/>
  <c r="K7" i="6"/>
  <c r="L7" i="6" s="1"/>
  <c r="K6" i="6"/>
  <c r="L6" i="6" s="1"/>
  <c r="K5" i="6"/>
  <c r="L5" i="6" s="1"/>
  <c r="K4" i="6"/>
  <c r="L4" i="6" s="1"/>
  <c r="L27" i="6"/>
  <c r="Q35" i="6"/>
  <c r="O35" i="6"/>
  <c r="N35" i="6"/>
  <c r="L12" i="6"/>
  <c r="L18" i="6"/>
  <c r="L19" i="6"/>
  <c r="L24" i="6"/>
  <c r="L34" i="6"/>
  <c r="L29" i="6"/>
  <c r="O29" i="5"/>
  <c r="P29" i="5" s="1"/>
  <c r="O28" i="5"/>
  <c r="P28" i="5" s="1"/>
  <c r="O27" i="5"/>
  <c r="P27" i="5" s="1"/>
  <c r="O26" i="5"/>
  <c r="P26" i="5" s="1"/>
  <c r="O25" i="5"/>
  <c r="P25" i="5" s="1"/>
  <c r="O24" i="5"/>
  <c r="P24" i="5" s="1"/>
  <c r="O23" i="5"/>
  <c r="P23" i="5" s="1"/>
  <c r="O22" i="5"/>
  <c r="P22" i="5" s="1"/>
  <c r="O21" i="5"/>
  <c r="P21" i="5" s="1"/>
  <c r="O20" i="5"/>
  <c r="P20" i="5" s="1"/>
  <c r="Q14" i="5"/>
  <c r="P14" i="5"/>
  <c r="O14" i="5"/>
  <c r="N14" i="5"/>
  <c r="M14" i="5"/>
  <c r="L13" i="5"/>
  <c r="L12" i="5"/>
  <c r="K11" i="5"/>
  <c r="L11" i="5" s="1"/>
  <c r="K10" i="5"/>
  <c r="L10" i="5" s="1"/>
  <c r="K9" i="5"/>
  <c r="L9" i="5" s="1"/>
  <c r="K8" i="5"/>
  <c r="L8" i="5" s="1"/>
  <c r="L7" i="5"/>
  <c r="K6" i="5"/>
  <c r="L6" i="5" s="1"/>
  <c r="L4" i="5"/>
  <c r="N30" i="5"/>
  <c r="M30" i="5"/>
  <c r="L30" i="5"/>
  <c r="K30" i="5"/>
  <c r="J30" i="5"/>
  <c r="I30" i="5"/>
  <c r="H30" i="5"/>
  <c r="G30" i="5"/>
  <c r="F30" i="5"/>
  <c r="E30" i="5"/>
  <c r="D30" i="5"/>
  <c r="C30" i="5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P22" i="4" s="1"/>
  <c r="O21" i="4"/>
  <c r="P21" i="4" s="1"/>
  <c r="O20" i="4"/>
  <c r="P20" i="4" s="1"/>
  <c r="O19" i="4"/>
  <c r="P19" i="4" s="1"/>
  <c r="O18" i="4"/>
  <c r="P18" i="4" s="1"/>
  <c r="O17" i="4"/>
  <c r="P17" i="4" s="1"/>
  <c r="L8" i="4"/>
  <c r="L5" i="4"/>
  <c r="K9" i="4"/>
  <c r="L9" i="4" s="1"/>
  <c r="K7" i="4"/>
  <c r="L7" i="4" s="1"/>
  <c r="K6" i="4"/>
  <c r="L4" i="4"/>
  <c r="L25" i="1"/>
  <c r="L23" i="1"/>
  <c r="L21" i="1"/>
  <c r="L19" i="1"/>
  <c r="L18" i="1"/>
  <c r="L17" i="1"/>
  <c r="L7" i="1"/>
  <c r="K24" i="1"/>
  <c r="L24" i="1" s="1"/>
  <c r="K22" i="1"/>
  <c r="L22" i="1" s="1"/>
  <c r="K20" i="1"/>
  <c r="L20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6" i="1"/>
  <c r="L6" i="1" s="1"/>
  <c r="K5" i="1"/>
  <c r="L5" i="1" s="1"/>
  <c r="K4" i="1"/>
  <c r="L4" i="1" s="1"/>
  <c r="H121" i="2"/>
  <c r="H118" i="2"/>
  <c r="H110" i="2"/>
  <c r="H98" i="2"/>
  <c r="H74" i="2"/>
  <c r="H69" i="2"/>
  <c r="H61" i="2"/>
  <c r="H44" i="2"/>
  <c r="H24" i="2"/>
  <c r="H25" i="2" s="1"/>
  <c r="K107" i="12"/>
  <c r="I107" i="12"/>
  <c r="K104" i="12"/>
  <c r="I104" i="12"/>
  <c r="K96" i="12"/>
  <c r="I96" i="12"/>
  <c r="K84" i="12"/>
  <c r="I84" i="12"/>
  <c r="K60" i="12"/>
  <c r="I60" i="12"/>
  <c r="K55" i="12"/>
  <c r="K61" i="12" s="1"/>
  <c r="I55" i="12"/>
  <c r="I61" i="12" s="1"/>
  <c r="K47" i="12"/>
  <c r="I47" i="12"/>
  <c r="K30" i="12"/>
  <c r="K97" i="12" s="1"/>
  <c r="K110" i="12" s="1"/>
  <c r="I30" i="12"/>
  <c r="I97" i="12" s="1"/>
  <c r="I110" i="12" s="1"/>
  <c r="K24" i="12"/>
  <c r="K25" i="12" s="1"/>
  <c r="K111" i="12" s="1"/>
  <c r="K112" i="12" s="1"/>
  <c r="I24" i="12"/>
  <c r="I25" i="12" s="1"/>
  <c r="I111" i="12" s="1"/>
  <c r="I112" i="12" s="1"/>
  <c r="P139" i="13" l="1"/>
  <c r="T139" i="13"/>
  <c r="X139" i="13"/>
  <c r="Z155" i="17"/>
  <c r="P18" i="3"/>
  <c r="Z155" i="18"/>
  <c r="Y156" i="18"/>
  <c r="Y92" i="13"/>
  <c r="P23" i="9"/>
  <c r="Y129" i="13"/>
  <c r="V139" i="13"/>
  <c r="T37" i="13"/>
  <c r="X37" i="13"/>
  <c r="Y39" i="13"/>
  <c r="Y47" i="13"/>
  <c r="L16" i="14"/>
  <c r="M16" i="14"/>
  <c r="Y108" i="13"/>
  <c r="Y121" i="13"/>
  <c r="Y125" i="13"/>
  <c r="Y133" i="13"/>
  <c r="Y137" i="13"/>
  <c r="Y150" i="13"/>
  <c r="Y64" i="13"/>
  <c r="Y55" i="13"/>
  <c r="Y66" i="13"/>
  <c r="Y71" i="13"/>
  <c r="Y72" i="13"/>
  <c r="Y73" i="13"/>
  <c r="W147" i="13"/>
  <c r="P13" i="8"/>
  <c r="H151" i="13"/>
  <c r="Y40" i="13"/>
  <c r="Y42" i="13"/>
  <c r="Y43" i="13"/>
  <c r="Y44" i="13"/>
  <c r="Y45" i="13"/>
  <c r="Y46" i="13"/>
  <c r="Y48" i="13"/>
  <c r="Y49" i="13"/>
  <c r="Y50" i="13"/>
  <c r="Y51" i="13"/>
  <c r="Y52" i="13"/>
  <c r="Y53" i="13"/>
  <c r="Y54" i="13"/>
  <c r="Y56" i="13"/>
  <c r="Y57" i="13"/>
  <c r="Y58" i="13"/>
  <c r="Y59" i="13"/>
  <c r="S61" i="13"/>
  <c r="Y149" i="13"/>
  <c r="Y87" i="13"/>
  <c r="Y88" i="13"/>
  <c r="Y89" i="13"/>
  <c r="Y90" i="13"/>
  <c r="Y93" i="13"/>
  <c r="AA93" i="13" s="1"/>
  <c r="Y95" i="13"/>
  <c r="Y96" i="13"/>
  <c r="Y98" i="13"/>
  <c r="Y99" i="13"/>
  <c r="Y100" i="13"/>
  <c r="Y101" i="13"/>
  <c r="Y102" i="13"/>
  <c r="Y103" i="13"/>
  <c r="Y104" i="13"/>
  <c r="Y105" i="13"/>
  <c r="Y106" i="13"/>
  <c r="Y107" i="13"/>
  <c r="Y109" i="13"/>
  <c r="Y110" i="13"/>
  <c r="Y111" i="13"/>
  <c r="AA111" i="13" s="1"/>
  <c r="Y112" i="13"/>
  <c r="Y113" i="13"/>
  <c r="Y114" i="13"/>
  <c r="Y115" i="13"/>
  <c r="Y118" i="13"/>
  <c r="Z118" i="13" s="1"/>
  <c r="M139" i="13"/>
  <c r="Y120" i="13"/>
  <c r="Y122" i="13"/>
  <c r="AA122" i="13" s="1"/>
  <c r="Y123" i="13"/>
  <c r="Y124" i="13"/>
  <c r="Y126" i="13"/>
  <c r="Y127" i="13"/>
  <c r="Y128" i="13"/>
  <c r="Y130" i="13"/>
  <c r="AA130" i="13" s="1"/>
  <c r="Y131" i="13"/>
  <c r="AA131" i="13" s="1"/>
  <c r="Y132" i="13"/>
  <c r="Y134" i="13"/>
  <c r="AA134" i="13" s="1"/>
  <c r="Y135" i="13"/>
  <c r="Y136" i="13"/>
  <c r="AA136" i="13" s="1"/>
  <c r="Y138" i="13"/>
  <c r="AA138" i="13" s="1"/>
  <c r="M147" i="13"/>
  <c r="W61" i="13"/>
  <c r="U37" i="13"/>
  <c r="S82" i="13"/>
  <c r="S83" i="13" s="1"/>
  <c r="O139" i="13"/>
  <c r="S139" i="13"/>
  <c r="W139" i="13"/>
  <c r="O147" i="13"/>
  <c r="S147" i="13"/>
  <c r="Y94" i="13"/>
  <c r="AA94" i="13" s="1"/>
  <c r="Y91" i="13"/>
  <c r="X74" i="13"/>
  <c r="P74" i="13"/>
  <c r="Y67" i="13"/>
  <c r="Y68" i="13"/>
  <c r="U74" i="13"/>
  <c r="U83" i="13" s="1"/>
  <c r="T74" i="13"/>
  <c r="N74" i="13"/>
  <c r="V74" i="13"/>
  <c r="V83" i="13" s="1"/>
  <c r="Y41" i="13"/>
  <c r="P61" i="13"/>
  <c r="Y86" i="13"/>
  <c r="O71" i="6"/>
  <c r="Y85" i="13"/>
  <c r="P71" i="6"/>
  <c r="Y60" i="13"/>
  <c r="M37" i="13"/>
  <c r="Q37" i="13"/>
  <c r="Y31" i="13"/>
  <c r="V37" i="13"/>
  <c r="N37" i="13"/>
  <c r="R37" i="13"/>
  <c r="O37" i="13"/>
  <c r="W37" i="13"/>
  <c r="Y33" i="13"/>
  <c r="Y34" i="13"/>
  <c r="Y35" i="13"/>
  <c r="Y144" i="13"/>
  <c r="Y154" i="13"/>
  <c r="H147" i="13"/>
  <c r="R74" i="13"/>
  <c r="Y65" i="13"/>
  <c r="Q74" i="13"/>
  <c r="Y70" i="13"/>
  <c r="Y69" i="13"/>
  <c r="O30" i="5"/>
  <c r="P30" i="5" s="1"/>
  <c r="Q82" i="13"/>
  <c r="X82" i="13"/>
  <c r="N82" i="13"/>
  <c r="T82" i="13"/>
  <c r="Y77" i="13"/>
  <c r="Y80" i="13"/>
  <c r="Y81" i="13"/>
  <c r="R82" i="13"/>
  <c r="Y76" i="13"/>
  <c r="Y79" i="13"/>
  <c r="Y78" i="13"/>
  <c r="P82" i="13"/>
  <c r="P23" i="4"/>
  <c r="Y145" i="13"/>
  <c r="Y146" i="13"/>
  <c r="AA146" i="13" s="1"/>
  <c r="Y152" i="13"/>
  <c r="Y142" i="13"/>
  <c r="Y143" i="13"/>
  <c r="AA143" i="13" s="1"/>
  <c r="Y23" i="13"/>
  <c r="Y24" i="13"/>
  <c r="Y6" i="13"/>
  <c r="AA6" i="13" s="1"/>
  <c r="Y8" i="13"/>
  <c r="AA8" i="13" s="1"/>
  <c r="Y9" i="13"/>
  <c r="Y10" i="13"/>
  <c r="Y11" i="13"/>
  <c r="Y12" i="13"/>
  <c r="Y13" i="13"/>
  <c r="Y14" i="13"/>
  <c r="Y15" i="13"/>
  <c r="Y16" i="13"/>
  <c r="Y17" i="13"/>
  <c r="Y19" i="13"/>
  <c r="AA19" i="13" s="1"/>
  <c r="Y20" i="13"/>
  <c r="Y21" i="13"/>
  <c r="Y7" i="13"/>
  <c r="Y36" i="13"/>
  <c r="S37" i="13"/>
  <c r="Y32" i="13"/>
  <c r="Y30" i="13"/>
  <c r="P37" i="13"/>
  <c r="N147" i="13"/>
  <c r="Q139" i="13"/>
  <c r="Y119" i="13"/>
  <c r="AA119" i="13" s="1"/>
  <c r="M82" i="13"/>
  <c r="M83" i="13" s="1"/>
  <c r="M61" i="13"/>
  <c r="O83" i="13"/>
  <c r="W83" i="13"/>
  <c r="P30" i="14"/>
  <c r="L23" i="14"/>
  <c r="K23" i="14"/>
  <c r="H139" i="13"/>
  <c r="H82" i="13"/>
  <c r="H74" i="13"/>
  <c r="H37" i="13"/>
  <c r="H61" i="13"/>
  <c r="H75" i="2"/>
  <c r="L11" i="9"/>
  <c r="L12" i="3"/>
  <c r="K12" i="3"/>
  <c r="K11" i="9"/>
  <c r="K6" i="8"/>
  <c r="O13" i="8"/>
  <c r="L26" i="1"/>
  <c r="K10" i="4"/>
  <c r="K25" i="10"/>
  <c r="O51" i="10"/>
  <c r="P51" i="10"/>
  <c r="L4" i="10"/>
  <c r="L25" i="10" s="1"/>
  <c r="L35" i="6"/>
  <c r="K35" i="6"/>
  <c r="K14" i="5"/>
  <c r="L14" i="5"/>
  <c r="L6" i="4"/>
  <c r="L10" i="4" s="1"/>
  <c r="O23" i="4"/>
  <c r="H111" i="2"/>
  <c r="H124" i="2" s="1"/>
  <c r="H125" i="2" s="1"/>
  <c r="H126" i="2" s="1"/>
  <c r="Z32" i="13" l="1"/>
  <c r="Z14" i="13"/>
  <c r="Z10" i="13"/>
  <c r="Z24" i="13"/>
  <c r="Z152" i="13"/>
  <c r="Z65" i="13"/>
  <c r="Z144" i="13"/>
  <c r="Z60" i="13"/>
  <c r="Z86" i="13"/>
  <c r="Z67" i="13"/>
  <c r="Z109" i="13"/>
  <c r="Z104" i="13"/>
  <c r="Z100" i="13"/>
  <c r="Z95" i="13"/>
  <c r="Z88" i="13"/>
  <c r="Z56" i="13"/>
  <c r="Z51" i="13"/>
  <c r="Z46" i="13"/>
  <c r="Z42" i="13"/>
  <c r="Z71" i="13"/>
  <c r="Z150" i="13"/>
  <c r="Z47" i="13"/>
  <c r="Z17" i="13"/>
  <c r="Z13" i="13"/>
  <c r="Z9" i="13"/>
  <c r="Z23" i="13"/>
  <c r="Z78" i="13"/>
  <c r="Z81" i="13"/>
  <c r="Z69" i="13"/>
  <c r="Z35" i="13"/>
  <c r="Z31" i="13"/>
  <c r="Z112" i="13"/>
  <c r="Z107" i="13"/>
  <c r="Z103" i="13"/>
  <c r="Z99" i="13"/>
  <c r="Z93" i="13"/>
  <c r="Z87" i="13"/>
  <c r="Z59" i="13"/>
  <c r="Z54" i="13"/>
  <c r="Z50" i="13"/>
  <c r="Z45" i="13"/>
  <c r="Z40" i="13"/>
  <c r="Z66" i="13"/>
  <c r="Z108" i="13"/>
  <c r="Z39" i="13"/>
  <c r="Z36" i="13"/>
  <c r="Z21" i="13"/>
  <c r="Z16" i="13"/>
  <c r="Z12" i="13"/>
  <c r="Z79" i="13"/>
  <c r="Z80" i="13"/>
  <c r="Z70" i="13"/>
  <c r="Z34" i="13"/>
  <c r="Z85" i="13"/>
  <c r="Z41" i="13"/>
  <c r="Z115" i="13"/>
  <c r="Z106" i="13"/>
  <c r="Z102" i="13"/>
  <c r="Z98" i="13"/>
  <c r="Z90" i="13"/>
  <c r="Z58" i="13"/>
  <c r="Z53" i="13"/>
  <c r="Z49" i="13"/>
  <c r="Z44" i="13"/>
  <c r="Z73" i="13"/>
  <c r="Z55" i="13"/>
  <c r="Z119" i="13"/>
  <c r="Z30" i="13"/>
  <c r="Y37" i="13"/>
  <c r="Z7" i="13"/>
  <c r="Z20" i="13"/>
  <c r="Z15" i="13"/>
  <c r="Z11" i="13"/>
  <c r="Z142" i="13"/>
  <c r="Z76" i="13"/>
  <c r="Z77" i="13"/>
  <c r="Z154" i="13"/>
  <c r="Z33" i="13"/>
  <c r="Z68" i="13"/>
  <c r="Z91" i="13"/>
  <c r="Z114" i="13"/>
  <c r="Z110" i="13"/>
  <c r="Z105" i="13"/>
  <c r="Z101" i="13"/>
  <c r="Z96" i="13"/>
  <c r="Z57" i="13"/>
  <c r="Z52" i="13"/>
  <c r="Z48" i="13"/>
  <c r="Z43" i="13"/>
  <c r="Z72" i="13"/>
  <c r="Z64" i="13"/>
  <c r="Z92" i="13"/>
  <c r="Z19" i="13"/>
  <c r="Z8" i="13"/>
  <c r="Z6" i="13"/>
  <c r="Z146" i="13"/>
  <c r="Z94" i="13"/>
  <c r="Z113" i="13"/>
  <c r="Z143" i="13"/>
  <c r="Z145" i="13"/>
  <c r="Z111" i="13"/>
  <c r="Z149" i="13"/>
  <c r="Z89" i="13"/>
  <c r="Z134" i="13"/>
  <c r="Z137" i="13"/>
  <c r="Z138" i="13"/>
  <c r="Z132" i="13"/>
  <c r="Z133" i="13"/>
  <c r="Z135" i="13"/>
  <c r="Z136" i="13"/>
  <c r="Z127" i="13"/>
  <c r="Z130" i="13"/>
  <c r="Z124" i="13"/>
  <c r="Z121" i="13"/>
  <c r="Z128" i="13"/>
  <c r="Z123" i="13"/>
  <c r="Z129" i="13"/>
  <c r="Z122" i="13"/>
  <c r="Z126" i="13"/>
  <c r="Z120" i="13"/>
  <c r="Z125" i="13"/>
  <c r="Z131" i="13"/>
  <c r="Y157" i="18"/>
  <c r="Z156" i="18"/>
  <c r="I42" i="14"/>
  <c r="H42" i="14"/>
  <c r="G42" i="14"/>
  <c r="J42" i="14"/>
  <c r="H18" i="13"/>
  <c r="X83" i="13"/>
  <c r="Y151" i="13"/>
  <c r="T83" i="13"/>
  <c r="Y139" i="13"/>
  <c r="AA139" i="13" s="1"/>
  <c r="P83" i="13"/>
  <c r="N83" i="13"/>
  <c r="Y61" i="13"/>
  <c r="R83" i="13"/>
  <c r="Q83" i="13"/>
  <c r="Y74" i="13"/>
  <c r="H83" i="13"/>
  <c r="Y82" i="13"/>
  <c r="Y147" i="13"/>
  <c r="AA147" i="13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O33" i="1"/>
  <c r="P33" i="1" s="1"/>
  <c r="N55" i="1"/>
  <c r="M55" i="1"/>
  <c r="L55" i="1"/>
  <c r="K55" i="1"/>
  <c r="J55" i="1"/>
  <c r="I55" i="1"/>
  <c r="H55" i="1"/>
  <c r="G55" i="1"/>
  <c r="F55" i="1"/>
  <c r="E55" i="1"/>
  <c r="D55" i="1"/>
  <c r="C55" i="1"/>
  <c r="Q26" i="1"/>
  <c r="P26" i="1"/>
  <c r="O26" i="1"/>
  <c r="N26" i="1"/>
  <c r="M26" i="1"/>
  <c r="K26" i="1"/>
  <c r="Z157" i="18" l="1"/>
  <c r="Z37" i="13"/>
  <c r="Z82" i="13"/>
  <c r="Z61" i="13"/>
  <c r="Z74" i="13"/>
  <c r="Z151" i="13"/>
  <c r="Z147" i="13"/>
  <c r="Z139" i="13"/>
  <c r="R18" i="13"/>
  <c r="S18" i="13"/>
  <c r="Q18" i="13"/>
  <c r="O42" i="14"/>
  <c r="T18" i="13"/>
  <c r="K114" i="13"/>
  <c r="K116" i="13" s="1"/>
  <c r="K140" i="13" s="1"/>
  <c r="P35" i="6"/>
  <c r="Y83" i="13"/>
  <c r="O55" i="1"/>
  <c r="P34" i="1"/>
  <c r="Z83" i="13" l="1"/>
  <c r="P42" i="14"/>
  <c r="Y18" i="13"/>
  <c r="J25" i="10"/>
  <c r="I25" i="10"/>
  <c r="H25" i="10"/>
  <c r="G25" i="10"/>
  <c r="F25" i="10"/>
  <c r="E25" i="10"/>
  <c r="D25" i="10"/>
  <c r="C25" i="10"/>
  <c r="J11" i="9"/>
  <c r="I11" i="9"/>
  <c r="H11" i="9"/>
  <c r="G11" i="9"/>
  <c r="F11" i="9"/>
  <c r="E11" i="9"/>
  <c r="D11" i="9"/>
  <c r="C11" i="9"/>
  <c r="J6" i="8"/>
  <c r="I6" i="8"/>
  <c r="H6" i="8"/>
  <c r="G6" i="8"/>
  <c r="F6" i="8"/>
  <c r="E6" i="8"/>
  <c r="D6" i="8"/>
  <c r="C6" i="8"/>
  <c r="J35" i="6"/>
  <c r="I35" i="6"/>
  <c r="H35" i="6"/>
  <c r="G35" i="6"/>
  <c r="F35" i="6"/>
  <c r="E35" i="6"/>
  <c r="D35" i="6"/>
  <c r="C35" i="6"/>
  <c r="J14" i="5"/>
  <c r="I14" i="5"/>
  <c r="H14" i="5"/>
  <c r="G14" i="5"/>
  <c r="F14" i="5"/>
  <c r="E14" i="5"/>
  <c r="D14" i="5"/>
  <c r="C14" i="5"/>
  <c r="J10" i="4"/>
  <c r="I10" i="4"/>
  <c r="H10" i="4"/>
  <c r="G10" i="4"/>
  <c r="F10" i="4"/>
  <c r="E10" i="4"/>
  <c r="D10" i="4"/>
  <c r="C10" i="4"/>
  <c r="J26" i="1"/>
  <c r="I26" i="1"/>
  <c r="H26" i="1"/>
  <c r="G26" i="1"/>
  <c r="F26" i="1"/>
  <c r="E26" i="1"/>
  <c r="D26" i="1"/>
  <c r="C26" i="1"/>
  <c r="Z18" i="13" l="1"/>
  <c r="K52" i="6"/>
  <c r="F52" i="6"/>
  <c r="D52" i="6"/>
  <c r="E52" i="6"/>
  <c r="J52" i="6"/>
  <c r="G52" i="6"/>
  <c r="N52" i="6"/>
  <c r="L52" i="6"/>
  <c r="I52" i="6"/>
  <c r="M52" i="6"/>
  <c r="H52" i="6"/>
  <c r="C52" i="6"/>
  <c r="M35" i="6"/>
  <c r="H97" i="13"/>
  <c r="H116" i="13" s="1"/>
  <c r="H140" i="13" s="1"/>
  <c r="W97" i="13" l="1"/>
  <c r="W116" i="13" s="1"/>
  <c r="W140" i="13" s="1"/>
  <c r="W97" i="19"/>
  <c r="W116" i="19" s="1"/>
  <c r="W140" i="19" s="1"/>
  <c r="Q97" i="13"/>
  <c r="Q116" i="13" s="1"/>
  <c r="Q140" i="13" s="1"/>
  <c r="Q97" i="19"/>
  <c r="Q116" i="19" s="1"/>
  <c r="Q140" i="19" s="1"/>
  <c r="P97" i="13"/>
  <c r="P116" i="13" s="1"/>
  <c r="P140" i="13" s="1"/>
  <c r="P97" i="19"/>
  <c r="P116" i="19" s="1"/>
  <c r="P140" i="19" s="1"/>
  <c r="S97" i="13"/>
  <c r="S116" i="13" s="1"/>
  <c r="S140" i="13" s="1"/>
  <c r="S97" i="19"/>
  <c r="S116" i="19" s="1"/>
  <c r="S140" i="19" s="1"/>
  <c r="U97" i="13"/>
  <c r="U116" i="13" s="1"/>
  <c r="U140" i="13" s="1"/>
  <c r="U97" i="19"/>
  <c r="U116" i="19" s="1"/>
  <c r="U140" i="19" s="1"/>
  <c r="M97" i="13"/>
  <c r="M116" i="13" s="1"/>
  <c r="M140" i="13" s="1"/>
  <c r="M97" i="19"/>
  <c r="V97" i="13"/>
  <c r="V116" i="13" s="1"/>
  <c r="V140" i="13" s="1"/>
  <c r="V97" i="19"/>
  <c r="V116" i="19" s="1"/>
  <c r="V140" i="19" s="1"/>
  <c r="O97" i="13"/>
  <c r="O116" i="13" s="1"/>
  <c r="O140" i="13" s="1"/>
  <c r="O97" i="19"/>
  <c r="O116" i="19" s="1"/>
  <c r="O140" i="19" s="1"/>
  <c r="T97" i="13"/>
  <c r="T116" i="13" s="1"/>
  <c r="T140" i="13" s="1"/>
  <c r="T97" i="19"/>
  <c r="T116" i="19" s="1"/>
  <c r="T140" i="19" s="1"/>
  <c r="R97" i="13"/>
  <c r="R116" i="13" s="1"/>
  <c r="R140" i="13" s="1"/>
  <c r="R97" i="19"/>
  <c r="R116" i="19" s="1"/>
  <c r="R140" i="19" s="1"/>
  <c r="X97" i="13"/>
  <c r="X116" i="13" s="1"/>
  <c r="X140" i="13" s="1"/>
  <c r="X97" i="19"/>
  <c r="X116" i="19" s="1"/>
  <c r="X140" i="19" s="1"/>
  <c r="N97" i="13"/>
  <c r="N116" i="13" s="1"/>
  <c r="N140" i="13" s="1"/>
  <c r="N97" i="19"/>
  <c r="N116" i="19" s="1"/>
  <c r="N140" i="19" s="1"/>
  <c r="O52" i="6"/>
  <c r="P52" i="6" s="1"/>
  <c r="Y97" i="19" l="1"/>
  <c r="M116" i="19"/>
  <c r="M140" i="19" s="1"/>
  <c r="Y97" i="13"/>
  <c r="Z97" i="13" s="1"/>
  <c r="Y140" i="13"/>
  <c r="AA97" i="13" l="1"/>
  <c r="Y116" i="13"/>
  <c r="Z116" i="13" s="1"/>
  <c r="Y140" i="19"/>
  <c r="AA140" i="13" s="1"/>
  <c r="Z97" i="19"/>
  <c r="Y116" i="19"/>
  <c r="Z140" i="13"/>
  <c r="AA116" i="13" l="1"/>
  <c r="Z116" i="19"/>
  <c r="Z140" i="19"/>
  <c r="M23" i="14" l="1"/>
  <c r="H22" i="17"/>
  <c r="H25" i="17" s="1"/>
  <c r="L46" i="14"/>
  <c r="V22" i="13" s="1"/>
  <c r="V25" i="13" s="1"/>
  <c r="V26" i="13" s="1"/>
  <c r="I46" i="14"/>
  <c r="S22" i="17" s="1"/>
  <c r="S25" i="17" s="1"/>
  <c r="S26" i="17" s="1"/>
  <c r="S156" i="17" s="1"/>
  <c r="S157" i="17" s="1"/>
  <c r="J46" i="14"/>
  <c r="T22" i="13" s="1"/>
  <c r="T25" i="13" s="1"/>
  <c r="T26" i="13" s="1"/>
  <c r="H46" i="14"/>
  <c r="R22" i="17" s="1"/>
  <c r="R25" i="17" s="1"/>
  <c r="R26" i="17" s="1"/>
  <c r="R156" i="17" s="1"/>
  <c r="R157" i="17" s="1"/>
  <c r="D46" i="14"/>
  <c r="N22" i="17" s="1"/>
  <c r="N25" i="17" s="1"/>
  <c r="N26" i="17" s="1"/>
  <c r="N156" i="17" s="1"/>
  <c r="N157" i="17" s="1"/>
  <c r="G46" i="14"/>
  <c r="Q22" i="17" s="1"/>
  <c r="Q25" i="17" s="1"/>
  <c r="Q26" i="17" s="1"/>
  <c r="Q156" i="17" s="1"/>
  <c r="Q157" i="17" s="1"/>
  <c r="H22" i="13"/>
  <c r="H25" i="13" s="1"/>
  <c r="F46" i="14"/>
  <c r="P22" i="17" s="1"/>
  <c r="P25" i="17" s="1"/>
  <c r="P26" i="17" s="1"/>
  <c r="P156" i="17" s="1"/>
  <c r="P157" i="17" s="1"/>
  <c r="N46" i="14"/>
  <c r="N49" i="14" s="1"/>
  <c r="K46" i="14"/>
  <c r="U22" i="17" s="1"/>
  <c r="U25" i="17" s="1"/>
  <c r="U26" i="17" s="1"/>
  <c r="U156" i="17" s="1"/>
  <c r="U157" i="17" s="1"/>
  <c r="M46" i="14"/>
  <c r="M49" i="14" s="1"/>
  <c r="E46" i="14"/>
  <c r="O22" i="17" s="1"/>
  <c r="O25" i="17" s="1"/>
  <c r="O26" i="17" s="1"/>
  <c r="O156" i="17" s="1"/>
  <c r="O157" i="17" s="1"/>
  <c r="C46" i="14"/>
  <c r="M22" i="17" s="1"/>
  <c r="H26" i="17" l="1"/>
  <c r="H156" i="17" s="1"/>
  <c r="B43" i="21" s="1"/>
  <c r="B49" i="21" s="1"/>
  <c r="D9" i="23" s="1"/>
  <c r="D10" i="23" s="1"/>
  <c r="D15" i="23"/>
  <c r="H26" i="13"/>
  <c r="B28" i="23"/>
  <c r="H157" i="17"/>
  <c r="N22" i="13"/>
  <c r="N25" i="13" s="1"/>
  <c r="N26" i="13" s="1"/>
  <c r="R22" i="13"/>
  <c r="R25" i="13" s="1"/>
  <c r="R26" i="13" s="1"/>
  <c r="W22" i="13"/>
  <c r="W25" i="13" s="1"/>
  <c r="W26" i="13" s="1"/>
  <c r="K49" i="14"/>
  <c r="X22" i="13"/>
  <c r="X25" i="13" s="1"/>
  <c r="X26" i="13" s="1"/>
  <c r="M22" i="13"/>
  <c r="M25" i="13" s="1"/>
  <c r="M26" i="13" s="1"/>
  <c r="S22" i="13"/>
  <c r="S25" i="13" s="1"/>
  <c r="S26" i="13" s="1"/>
  <c r="E49" i="14"/>
  <c r="I49" i="14"/>
  <c r="C49" i="14"/>
  <c r="H49" i="14"/>
  <c r="J49" i="14"/>
  <c r="O46" i="14"/>
  <c r="O22" i="13"/>
  <c r="U22" i="13"/>
  <c r="U25" i="13" s="1"/>
  <c r="U26" i="13" s="1"/>
  <c r="P22" i="13"/>
  <c r="P25" i="13" s="1"/>
  <c r="P26" i="13" s="1"/>
  <c r="W22" i="17"/>
  <c r="W25" i="17" s="1"/>
  <c r="W26" i="17" s="1"/>
  <c r="W156" i="17" s="1"/>
  <c r="W157" i="17" s="1"/>
  <c r="X22" i="17"/>
  <c r="X25" i="17" s="1"/>
  <c r="X26" i="17" s="1"/>
  <c r="X156" i="17" s="1"/>
  <c r="X157" i="17" s="1"/>
  <c r="G49" i="14"/>
  <c r="L49" i="14"/>
  <c r="D49" i="14"/>
  <c r="F49" i="14"/>
  <c r="V22" i="17"/>
  <c r="V25" i="17" s="1"/>
  <c r="V26" i="17" s="1"/>
  <c r="V156" i="17" s="1"/>
  <c r="V157" i="17" s="1"/>
  <c r="T22" i="17"/>
  <c r="T25" i="17" s="1"/>
  <c r="T26" i="17" s="1"/>
  <c r="T156" i="17" s="1"/>
  <c r="T157" i="17" s="1"/>
  <c r="M25" i="17"/>
  <c r="M26" i="17" s="1"/>
  <c r="Q22" i="13"/>
  <c r="Q25" i="13" s="1"/>
  <c r="Q26" i="13" s="1"/>
  <c r="D17" i="23" l="1"/>
  <c r="F15" i="23"/>
  <c r="B51" i="21"/>
  <c r="C50" i="21" s="1"/>
  <c r="C51" i="21" s="1"/>
  <c r="D50" i="21" s="1"/>
  <c r="D51" i="21" s="1"/>
  <c r="E50" i="21" s="1"/>
  <c r="E51" i="21" s="1"/>
  <c r="F50" i="21" s="1"/>
  <c r="F51" i="21" s="1"/>
  <c r="O25" i="13"/>
  <c r="O26" i="13" s="1"/>
  <c r="Y22" i="13"/>
  <c r="M156" i="17"/>
  <c r="M157" i="17" s="1"/>
  <c r="Y26" i="17"/>
  <c r="P46" i="14"/>
  <c r="O49" i="14"/>
  <c r="Y22" i="17"/>
  <c r="AA22" i="13" s="1"/>
  <c r="Y25" i="17" l="1"/>
  <c r="Z22" i="17"/>
  <c r="Y25" i="13"/>
  <c r="Z25" i="13" s="1"/>
  <c r="Z22" i="13"/>
  <c r="Z26" i="17"/>
  <c r="Y156" i="17"/>
  <c r="Y26" i="13"/>
  <c r="AA26" i="13" s="1"/>
  <c r="AA25" i="13" l="1"/>
  <c r="Y157" i="17"/>
  <c r="Z156" i="17"/>
  <c r="Z26" i="13"/>
  <c r="Z25" i="17"/>
  <c r="Z157" i="17" l="1"/>
  <c r="M12" i="3" l="1"/>
  <c r="M153" i="19"/>
  <c r="O23" i="3"/>
  <c r="P23" i="3" s="1"/>
  <c r="P25" i="3" s="1"/>
  <c r="F25" i="3"/>
  <c r="Q153" i="19"/>
  <c r="Q155" i="19" s="1"/>
  <c r="Q156" i="19" s="1"/>
  <c r="Q157" i="19" s="1"/>
  <c r="R153" i="19"/>
  <c r="R155" i="19" s="1"/>
  <c r="R156" i="19" s="1"/>
  <c r="R157" i="19" s="1"/>
  <c r="J25" i="3"/>
  <c r="U153" i="19"/>
  <c r="U155" i="19" s="1"/>
  <c r="U156" i="19" s="1"/>
  <c r="U157" i="19" s="1"/>
  <c r="V153" i="19"/>
  <c r="V155" i="19" s="1"/>
  <c r="V156" i="19" s="1"/>
  <c r="V157" i="19" s="1"/>
  <c r="N25" i="3"/>
  <c r="D25" i="3"/>
  <c r="E25" i="3"/>
  <c r="I25" i="3"/>
  <c r="L25" i="3"/>
  <c r="M25" i="3"/>
  <c r="H153" i="19"/>
  <c r="H155" i="19" s="1"/>
  <c r="O153" i="19"/>
  <c r="O155" i="19" s="1"/>
  <c r="O156" i="19" s="1"/>
  <c r="O157" i="19" s="1"/>
  <c r="P153" i="19"/>
  <c r="P155" i="19" s="1"/>
  <c r="P156" i="19" s="1"/>
  <c r="P157" i="19" s="1"/>
  <c r="S153" i="19"/>
  <c r="S155" i="19" s="1"/>
  <c r="S156" i="19" s="1"/>
  <c r="S157" i="19" s="1"/>
  <c r="T153" i="19"/>
  <c r="T155" i="19" s="1"/>
  <c r="T156" i="19" s="1"/>
  <c r="T157" i="19" s="1"/>
  <c r="W153" i="19"/>
  <c r="W155" i="19" s="1"/>
  <c r="W156" i="19" s="1"/>
  <c r="W157" i="19" s="1"/>
  <c r="X153" i="19"/>
  <c r="X155" i="19" s="1"/>
  <c r="X156" i="19" s="1"/>
  <c r="X157" i="19" s="1"/>
  <c r="O155" i="13"/>
  <c r="O156" i="13" s="1"/>
  <c r="O157" i="13" s="1"/>
  <c r="S155" i="13"/>
  <c r="S156" i="13" s="1"/>
  <c r="S157" i="13" s="1"/>
  <c r="T155" i="13"/>
  <c r="T156" i="13" s="1"/>
  <c r="T157" i="13" s="1"/>
  <c r="X155" i="13"/>
  <c r="X156" i="13" s="1"/>
  <c r="X157" i="13" s="1"/>
  <c r="H155" i="13"/>
  <c r="P155" i="13"/>
  <c r="P156" i="13" s="1"/>
  <c r="P157" i="13" s="1"/>
  <c r="W155" i="13"/>
  <c r="W156" i="13" s="1"/>
  <c r="W157" i="13" s="1"/>
  <c r="H156" i="13" l="1"/>
  <c r="B4" i="21" s="1"/>
  <c r="B10" i="21" s="1"/>
  <c r="B29" i="23"/>
  <c r="B30" i="23" s="1"/>
  <c r="H156" i="19"/>
  <c r="B16" i="23"/>
  <c r="H25" i="3"/>
  <c r="N155" i="13"/>
  <c r="N156" i="13" s="1"/>
  <c r="N157" i="13" s="1"/>
  <c r="N153" i="19"/>
  <c r="N155" i="19" s="1"/>
  <c r="N156" i="19" s="1"/>
  <c r="N157" i="19" s="1"/>
  <c r="R155" i="13"/>
  <c r="R156" i="13" s="1"/>
  <c r="R157" i="13" s="1"/>
  <c r="V155" i="13"/>
  <c r="V156" i="13" s="1"/>
  <c r="V157" i="13" s="1"/>
  <c r="Y153" i="19"/>
  <c r="M155" i="19"/>
  <c r="M156" i="19" s="1"/>
  <c r="M157" i="19" s="1"/>
  <c r="U155" i="13"/>
  <c r="U156" i="13" s="1"/>
  <c r="U157" i="13" s="1"/>
  <c r="Q155" i="13"/>
  <c r="Q156" i="13" s="1"/>
  <c r="Q157" i="13" s="1"/>
  <c r="O25" i="3"/>
  <c r="K25" i="3"/>
  <c r="G25" i="3"/>
  <c r="C25" i="3"/>
  <c r="H157" i="13" l="1"/>
  <c r="F16" i="23"/>
  <c r="F17" i="23" s="1"/>
  <c r="B17" i="23"/>
  <c r="H157" i="19"/>
  <c r="J21" i="20" s="1"/>
  <c r="B17" i="21"/>
  <c r="B23" i="21" s="1"/>
  <c r="B12" i="21"/>
  <c r="C11" i="21" s="1"/>
  <c r="C22" i="23" s="1"/>
  <c r="B23" i="23"/>
  <c r="B24" i="23" s="1"/>
  <c r="Y153" i="13"/>
  <c r="AA153" i="13" s="1"/>
  <c r="M155" i="13"/>
  <c r="M156" i="13" s="1"/>
  <c r="M157" i="13" s="1"/>
  <c r="Y155" i="19"/>
  <c r="Z153" i="19"/>
  <c r="B25" i="21" l="1"/>
  <c r="C24" i="21" s="1"/>
  <c r="B9" i="23"/>
  <c r="Y155" i="13"/>
  <c r="AA155" i="13" s="1"/>
  <c r="Z153" i="13"/>
  <c r="Z155" i="19"/>
  <c r="Y156" i="19"/>
  <c r="B10" i="23" l="1"/>
  <c r="F9" i="23"/>
  <c r="F10" i="23" s="1"/>
  <c r="Z156" i="19"/>
  <c r="Y157" i="19"/>
  <c r="Y156" i="13"/>
  <c r="AA156" i="13" s="1"/>
  <c r="Z155" i="13"/>
  <c r="Y157" i="13" l="1"/>
  <c r="AA157" i="13" s="1"/>
  <c r="Z156" i="13"/>
  <c r="Z157" i="19"/>
  <c r="N12" i="3"/>
  <c r="O12" i="3"/>
  <c r="P12" i="3"/>
  <c r="Q12" i="3"/>
  <c r="I153" i="19"/>
  <c r="J153" i="19"/>
  <c r="K153" i="19"/>
  <c r="L153" i="19"/>
  <c r="I155" i="19"/>
  <c r="I156" i="19" s="1"/>
  <c r="C17" i="21" s="1"/>
  <c r="C23" i="21" s="1"/>
  <c r="C25" i="21" s="1"/>
  <c r="D24" i="21" s="1"/>
  <c r="J155" i="19"/>
  <c r="J156" i="19" s="1"/>
  <c r="K155" i="19"/>
  <c r="K156" i="19" s="1"/>
  <c r="L155" i="19"/>
  <c r="L156" i="19" s="1"/>
  <c r="F17" i="21" s="1"/>
  <c r="F23" i="21" s="1"/>
  <c r="I155" i="13"/>
  <c r="C29" i="23" s="1"/>
  <c r="C30" i="23" s="1"/>
  <c r="J155" i="13"/>
  <c r="D29" i="23" s="1"/>
  <c r="D30" i="23" s="1"/>
  <c r="K155" i="13"/>
  <c r="L155" i="13"/>
  <c r="F29" i="23" s="1"/>
  <c r="F30" i="23" s="1"/>
  <c r="I156" i="13" l="1"/>
  <c r="C4" i="21" s="1"/>
  <c r="C10" i="21" s="1"/>
  <c r="C12" i="21" s="1"/>
  <c r="J156" i="13"/>
  <c r="D4" i="21" s="1"/>
  <c r="D23" i="23" s="1"/>
  <c r="L156" i="13"/>
  <c r="F4" i="21" s="1"/>
  <c r="F10" i="21" s="1"/>
  <c r="F23" i="23" s="1"/>
  <c r="K156" i="13"/>
  <c r="K157" i="13" s="1"/>
  <c r="E29" i="23"/>
  <c r="E30" i="23" s="1"/>
  <c r="Z157" i="13"/>
  <c r="D17" i="21"/>
  <c r="D23" i="21" s="1"/>
  <c r="D25" i="21" s="1"/>
  <c r="E24" i="21" s="1"/>
  <c r="J157" i="19"/>
  <c r="L21" i="20" s="1"/>
  <c r="K157" i="19"/>
  <c r="M21" i="20" s="1"/>
  <c r="E17" i="21"/>
  <c r="E23" i="21" s="1"/>
  <c r="L157" i="19"/>
  <c r="N21" i="20" s="1"/>
  <c r="I157" i="19"/>
  <c r="K21" i="20" s="1"/>
  <c r="D11" i="21" l="1"/>
  <c r="D22" i="23" s="1"/>
  <c r="D24" i="23" s="1"/>
  <c r="I157" i="13"/>
  <c r="C23" i="23"/>
  <c r="C24" i="23" s="1"/>
  <c r="J157" i="13"/>
  <c r="E4" i="21"/>
  <c r="E10" i="21" s="1"/>
  <c r="E23" i="23" s="1"/>
  <c r="E25" i="21"/>
  <c r="F24" i="21" s="1"/>
  <c r="F25" i="21" s="1"/>
  <c r="L157" i="13"/>
  <c r="D12" i="21" l="1"/>
  <c r="E11" i="21" s="1"/>
  <c r="E22" i="23" s="1"/>
  <c r="E24" i="23" s="1"/>
  <c r="E12" i="21" l="1"/>
  <c r="F11" i="21" s="1"/>
  <c r="F12" i="21" s="1"/>
  <c r="F22" i="23" l="1"/>
  <c r="F24" i="23" s="1"/>
</calcChain>
</file>

<file path=xl/comments1.xml><?xml version="1.0" encoding="utf-8"?>
<comments xmlns="http://schemas.openxmlformats.org/spreadsheetml/2006/main">
  <authors>
    <author>Cory McGrath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Based on Social Security Increase each year announced in October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September Number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September Number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Always moved in June, Never changes unless bylaws change</t>
        </r>
      </text>
    </comment>
  </commentList>
</comments>
</file>

<file path=xl/comments10.xml><?xml version="1.0" encoding="utf-8"?>
<comments xmlns="http://schemas.openxmlformats.org/spreadsheetml/2006/main">
  <authors>
    <author>Cory McGrath</author>
  </authors>
  <commentList>
    <comment ref="N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8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N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1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1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N12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12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12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12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N1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1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1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1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N1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1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1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1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1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1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Snowplow vplow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1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1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1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N18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18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18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18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N1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1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1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N2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2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2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N2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Raise
</t>
        </r>
      </text>
    </comment>
    <comment ref="O2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Raise
</t>
        </r>
      </text>
    </comment>
    <comment ref="P2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Raise
</t>
        </r>
      </text>
    </comment>
    <comment ref="Q2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Raise
</t>
        </r>
      </text>
    </comment>
    <comment ref="N22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22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22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22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2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2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2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N2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2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2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2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</commentList>
</comments>
</file>

<file path=xl/comments11.xml><?xml version="1.0" encoding="utf-8"?>
<comments xmlns="http://schemas.openxmlformats.org/spreadsheetml/2006/main">
  <authors>
    <author>Cory McGrath</author>
  </authors>
  <commentList>
    <comment ref="N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Increase
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Increase
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Increase
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Increase
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4% Collected
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4% Collected
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4% Collected
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4% Collected
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4% Collected
</t>
        </r>
      </text>
    </comment>
    <comment ref="M8" authorId="0">
      <text>
        <r>
          <rPr>
            <sz val="9"/>
            <color indexed="81"/>
            <rFont val="Tahoma"/>
            <family val="2"/>
          </rPr>
          <t xml:space="preserve">4% Uncollectible:  Based on 8% Original Uncollectible minuns 4% Collections will Collect
</t>
        </r>
      </text>
    </comment>
    <comment ref="N8" authorId="0">
      <text>
        <r>
          <rPr>
            <sz val="9"/>
            <color indexed="81"/>
            <rFont val="Tahoma"/>
            <family val="2"/>
          </rPr>
          <t xml:space="preserve">4% Uncollectible:  Based on 8% Original Uncollectible minuns 4% Collections will Collect
</t>
        </r>
      </text>
    </comment>
    <comment ref="O8" authorId="0">
      <text>
        <r>
          <rPr>
            <sz val="9"/>
            <color indexed="81"/>
            <rFont val="Tahoma"/>
            <family val="2"/>
          </rPr>
          <t xml:space="preserve">4% Uncollectible:  Based on 8% Original Uncollectible minuns 4% Collections will Collect
</t>
        </r>
      </text>
    </comment>
    <comment ref="P8" authorId="0">
      <text>
        <r>
          <rPr>
            <sz val="9"/>
            <color indexed="81"/>
            <rFont val="Tahoma"/>
            <family val="2"/>
          </rPr>
          <t xml:space="preserve">4% Uncollectible:  Based on 8% Original Uncollectible minuns 4% Collections will Collect
</t>
        </r>
      </text>
    </comment>
    <comment ref="Q8" authorId="0">
      <text>
        <r>
          <rPr>
            <sz val="9"/>
            <color indexed="81"/>
            <rFont val="Tahoma"/>
            <family val="2"/>
          </rPr>
          <t xml:space="preserve">4% Uncollectible:  Based on 8% Original Uncollectible minuns 4% Collections will Collect
</t>
        </r>
      </text>
    </comment>
  </commentList>
</comments>
</file>

<file path=xl/comments2.xml><?xml version="1.0" encoding="utf-8"?>
<comments xmlns="http://schemas.openxmlformats.org/spreadsheetml/2006/main">
  <authors>
    <author>Cory McGrath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Change Years Here</t>
        </r>
      </text>
    </comment>
  </commentList>
</comments>
</file>

<file path=xl/comments3.xml><?xml version="1.0" encoding="utf-8"?>
<comments xmlns="http://schemas.openxmlformats.org/spreadsheetml/2006/main">
  <authors>
    <author>Cory McGrath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Keep it Simple, Assume nothing more collected for 2013 in 2014
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Assume No additional payables at end of 2014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Assume no additional payroll taxes at end of 2014</t>
        </r>
      </text>
    </comment>
  </commentList>
</comments>
</file>

<file path=xl/comments4.xml><?xml version="1.0" encoding="utf-8"?>
<comments xmlns="http://schemas.openxmlformats.org/spreadsheetml/2006/main">
  <authors>
    <author>Cory McGrath</author>
  </authors>
  <commentList>
    <comment ref="E1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Includes Office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Includes Office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Net Income in General Fund is figured in, so that we do not go over.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Net Income in General Fund is figured in, so that we do not go over.</t>
        </r>
      </text>
    </comment>
    <comment ref="L2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Net Income in General Fund is figured in, so that we do not go over.</t>
        </r>
      </text>
    </comment>
    <comment ref="M2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Net Income in General Fund is figured in, so that we do not go over.</t>
        </r>
      </text>
    </comment>
    <comment ref="N2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Net Income in General Fund is figured in, so that we do not go over.</t>
        </r>
      </text>
    </comment>
  </commentList>
</comments>
</file>

<file path=xl/comments5.xml><?xml version="1.0" encoding="utf-8"?>
<comments xmlns="http://schemas.openxmlformats.org/spreadsheetml/2006/main">
  <authors>
    <author>Cory McGrath</author>
  </authors>
  <commentList>
    <comment ref="M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Based on Lots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Increase
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Increase
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Increase
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Increase
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Based on Owners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Increase
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Increase
</t>
        </r>
      </text>
    </comment>
    <comment ref="P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Increase
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Increase
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12 citations = 1/month</t>
        </r>
      </text>
    </comment>
    <comment ref="M1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Based on Owners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Increase
</t>
        </r>
      </text>
    </comment>
    <comment ref="O1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Increase
</t>
        </r>
      </text>
    </comment>
    <comment ref="P1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Increase
</t>
        </r>
      </text>
    </comment>
    <comment ref="Q1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Increase
</t>
        </r>
      </text>
    </comment>
  </commentList>
</comments>
</file>

<file path=xl/comments6.xml><?xml version="1.0" encoding="utf-8"?>
<comments xmlns="http://schemas.openxmlformats.org/spreadsheetml/2006/main">
  <authors>
    <author>Cory McGrath</author>
  </authors>
  <commentList>
    <comment ref="N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1.5% Increase
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1.5% Increase
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1.5% Increase
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1.5% Increase
</t>
        </r>
      </text>
    </comment>
    <comment ref="P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1.5% Increase
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1.5% Increase
</t>
        </r>
      </text>
    </comment>
    <comment ref="N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1.5% Increase
</t>
        </r>
      </text>
    </comment>
    <comment ref="P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1.5% Increase
</t>
        </r>
      </text>
    </comment>
    <comment ref="Q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1.5% Increase
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1.5% Increase
</t>
        </r>
      </text>
    </comment>
    <comment ref="P1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1.5% Increase
</t>
        </r>
      </text>
    </comment>
    <comment ref="Q1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1.5% Increase
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1.5% Increase
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1.5% Increase
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1.5% Increase
</t>
        </r>
      </text>
    </comment>
    <comment ref="N13" authorId="0">
      <text>
        <r>
          <rPr>
            <b/>
            <sz val="9"/>
            <color indexed="81"/>
            <rFont val="Tahoma"/>
            <family val="2"/>
          </rPr>
          <t xml:space="preserve">Cory McGrath:
Raise
</t>
        </r>
      </text>
    </comment>
    <comment ref="O13" authorId="0">
      <text>
        <r>
          <rPr>
            <b/>
            <sz val="9"/>
            <color indexed="81"/>
            <rFont val="Tahoma"/>
            <family val="2"/>
          </rPr>
          <t xml:space="preserve">Cory McGrath:
Raise
</t>
        </r>
      </text>
    </comment>
    <comment ref="P13" authorId="0">
      <text>
        <r>
          <rPr>
            <b/>
            <sz val="9"/>
            <color indexed="81"/>
            <rFont val="Tahoma"/>
            <family val="2"/>
          </rPr>
          <t xml:space="preserve">Cory McGrath:
Raise
</t>
        </r>
      </text>
    </comment>
    <comment ref="Q13" authorId="0">
      <text>
        <r>
          <rPr>
            <b/>
            <sz val="9"/>
            <color indexed="81"/>
            <rFont val="Tahoma"/>
            <family val="2"/>
          </rPr>
          <t xml:space="preserve">Cory McGrath:
Raise
</t>
        </r>
      </text>
    </comment>
    <comment ref="N1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1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1.5% Increase
</t>
        </r>
      </text>
    </comment>
    <comment ref="P1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1.5% Increase
</t>
        </r>
      </text>
    </comment>
    <comment ref="Q1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1.5% Increase
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 xml:space="preserve">Cory McGrath:
Raise
</t>
        </r>
      </text>
    </comment>
    <comment ref="O15" authorId="0">
      <text>
        <r>
          <rPr>
            <b/>
            <sz val="9"/>
            <color indexed="81"/>
            <rFont val="Tahoma"/>
            <family val="2"/>
          </rPr>
          <t xml:space="preserve">Cory McGrath:
Raise
</t>
        </r>
      </text>
    </comment>
    <comment ref="P15" authorId="0">
      <text>
        <r>
          <rPr>
            <b/>
            <sz val="9"/>
            <color indexed="81"/>
            <rFont val="Tahoma"/>
            <family val="2"/>
          </rPr>
          <t xml:space="preserve">Cory McGrath:
Raise
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 xml:space="preserve">Cory McGrath:
Raise
</t>
        </r>
      </text>
    </comment>
    <comment ref="N20" authorId="0">
      <text>
        <r>
          <rPr>
            <b/>
            <sz val="9"/>
            <color indexed="81"/>
            <rFont val="Tahoma"/>
            <family val="2"/>
          </rPr>
          <t xml:space="preserve">Cory McGrath:
Raise
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 xml:space="preserve">Cory McGrath:
Raise
</t>
        </r>
      </text>
    </comment>
    <comment ref="P20" authorId="0">
      <text>
        <r>
          <rPr>
            <b/>
            <sz val="9"/>
            <color indexed="81"/>
            <rFont val="Tahoma"/>
            <family val="2"/>
          </rPr>
          <t xml:space="preserve">Cory McGrath:
Raise
</t>
        </r>
      </text>
    </comment>
    <comment ref="Q20" authorId="0">
      <text>
        <r>
          <rPr>
            <b/>
            <sz val="9"/>
            <color indexed="81"/>
            <rFont val="Tahoma"/>
            <family val="2"/>
          </rPr>
          <t xml:space="preserve">Cory McGrath:
Raise
</t>
        </r>
      </text>
    </comment>
    <comment ref="N22" authorId="0">
      <text>
        <r>
          <rPr>
            <b/>
            <sz val="9"/>
            <color indexed="81"/>
            <rFont val="Tahoma"/>
            <family val="2"/>
          </rPr>
          <t xml:space="preserve">Cory McGrath:
Raise
</t>
        </r>
      </text>
    </comment>
    <comment ref="O22" authorId="0">
      <text>
        <r>
          <rPr>
            <b/>
            <sz val="9"/>
            <color indexed="81"/>
            <rFont val="Tahoma"/>
            <family val="2"/>
          </rPr>
          <t xml:space="preserve">Cory McGrath:
Raise
</t>
        </r>
      </text>
    </comment>
    <comment ref="P22" authorId="0">
      <text>
        <r>
          <rPr>
            <b/>
            <sz val="9"/>
            <color indexed="81"/>
            <rFont val="Tahoma"/>
            <family val="2"/>
          </rPr>
          <t xml:space="preserve">Cory McGrath:
Raise
</t>
        </r>
      </text>
    </comment>
    <comment ref="Q22" authorId="0">
      <text>
        <r>
          <rPr>
            <b/>
            <sz val="9"/>
            <color indexed="81"/>
            <rFont val="Tahoma"/>
            <family val="2"/>
          </rPr>
          <t xml:space="preserve">Cory McGrath:
Raise
</t>
        </r>
      </text>
    </comment>
    <comment ref="N2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2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1.5% Increase
</t>
        </r>
      </text>
    </comment>
    <comment ref="P2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1.5% Increase
</t>
        </r>
      </text>
    </comment>
    <comment ref="Q2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1.5% Increase
</t>
        </r>
      </text>
    </comment>
  </commentList>
</comments>
</file>

<file path=xl/comments7.xml><?xml version="1.0" encoding="utf-8"?>
<comments xmlns="http://schemas.openxmlformats.org/spreadsheetml/2006/main">
  <authors>
    <author>Cory McGrath</author>
  </authors>
  <commentList>
    <comment ref="N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</commentList>
</comments>
</file>

<file path=xl/comments8.xml><?xml version="1.0" encoding="utf-8"?>
<comments xmlns="http://schemas.openxmlformats.org/spreadsheetml/2006/main">
  <authors>
    <author>Cory McGrath</author>
  </authors>
  <commentList>
    <comment ref="M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Included in Lodge Cleaning Labor- All of Bob W hours are booked there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8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N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1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1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</commentList>
</comments>
</file>

<file path=xl/comments9.xml><?xml version="1.0" encoding="utf-8"?>
<comments xmlns="http://schemas.openxmlformats.org/spreadsheetml/2006/main">
  <authors>
    <author>Cory McGrath</author>
  </authors>
  <commentList>
    <comment ref="N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Quarterly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5hr/month *200/hr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350*3=1050 for Invoicing And 1550 for Annual Meeting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7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Cory M:$750 Envelopes, $500 paper &amp;$500 Pens,etc.</t>
        </r>
      </text>
    </comment>
    <comment ref="N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August Annualized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1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1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M12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All Labor Exp for Year 
</t>
        </r>
      </text>
    </comment>
    <comment ref="N12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12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12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12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All Labor Exp for Year 
</t>
        </r>
      </text>
    </comment>
    <comment ref="N1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All Labor Exp for Year *1.5%
</t>
        </r>
      </text>
    </comment>
    <comment ref="O1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All Labor Exp for Year *1.5%
</t>
        </r>
      </text>
    </comment>
    <comment ref="P1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All Labor Exp for Year *1.5%
</t>
        </r>
      </text>
    </comment>
    <comment ref="Q1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All Labor Exp for Year *1.5%
</t>
        </r>
      </text>
    </comment>
    <comment ref="M1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General Liab.</t>
        </r>
      </text>
    </comment>
    <comment ref="N1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1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1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14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Work Comp D&amp;O
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1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1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All Labor Exp for Year *7.65%
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All Labor Exp for Year *7.65%
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All Labor Exp for Year *7.65%
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All Labor Exp for Year *7.65%
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All Labor Exp for Year *7.65%
</t>
        </r>
      </text>
    </comment>
    <comment ref="M1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This is half the trips for the year in case Shelli wants to split. (13)
</t>
        </r>
      </text>
    </comment>
    <comment ref="N1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This is half the trips for the year in case Shelli wants to split. (13)
</t>
        </r>
      </text>
    </comment>
    <comment ref="O1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This is half the trips for the year in case Shelli wants to split. (13)
</t>
        </r>
      </text>
    </comment>
    <comment ref="P1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This is half the trips for the year in case Shelli wants to split. (13)
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This is half the trips for the year in case Shelli wants to split. (13)
</t>
        </r>
      </text>
    </comment>
    <comment ref="M2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QB upgrade</t>
        </r>
      </text>
    </comment>
    <comment ref="N2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QB upgrade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QB upgrade</t>
        </r>
      </text>
    </comment>
    <comment ref="P2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QB upgrade</t>
        </r>
      </text>
    </comment>
    <comment ref="Q2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QB upgrade</t>
        </r>
      </text>
    </comment>
    <comment ref="M21" authorId="0">
      <text>
        <r>
          <rPr>
            <b/>
            <sz val="9"/>
            <color indexed="81"/>
            <rFont val="Tahoma"/>
            <family val="2"/>
          </rPr>
          <t xml:space="preserve">GolfCart Stickers 
And Car Decals
</t>
        </r>
      </text>
    </comment>
    <comment ref="N21" authorId="0">
      <text>
        <r>
          <rPr>
            <b/>
            <sz val="9"/>
            <color indexed="81"/>
            <rFont val="Tahoma"/>
            <family val="2"/>
          </rPr>
          <t xml:space="preserve">Car Decals
</t>
        </r>
      </text>
    </comment>
    <comment ref="O21" authorId="0">
      <text>
        <r>
          <rPr>
            <b/>
            <sz val="9"/>
            <color indexed="81"/>
            <rFont val="Tahoma"/>
            <family val="2"/>
          </rPr>
          <t xml:space="preserve">GolfCart Stickers 
And Car Decals
</t>
        </r>
      </text>
    </comment>
    <comment ref="P21" authorId="0">
      <text>
        <r>
          <rPr>
            <b/>
            <sz val="9"/>
            <color indexed="81"/>
            <rFont val="Tahoma"/>
            <family val="2"/>
          </rPr>
          <t xml:space="preserve">Car Decals
</t>
        </r>
      </text>
    </comment>
    <comment ref="Q21" authorId="0">
      <text>
        <r>
          <rPr>
            <b/>
            <sz val="9"/>
            <color indexed="81"/>
            <rFont val="Tahoma"/>
            <family val="2"/>
          </rPr>
          <t xml:space="preserve">GolfCart Stickers 
And Car Decals
</t>
        </r>
      </text>
    </comment>
    <comment ref="M2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Random Assoc. Memberships if needed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Random Assoc. Memberships if needed</t>
        </r>
      </text>
    </comment>
    <comment ref="O2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Random Assoc. Memberships if needed</t>
        </r>
      </text>
    </comment>
    <comment ref="P2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Random Assoc. Memberships if needed</t>
        </r>
      </text>
    </comment>
    <comment ref="Q2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Random Assoc. Memberships if needed</t>
        </r>
      </text>
    </comment>
    <comment ref="M25" authorId="0">
      <text>
        <r>
          <rPr>
            <b/>
            <sz val="9"/>
            <color indexed="81"/>
            <rFont val="Tahoma"/>
            <family val="2"/>
          </rPr>
          <t>Nicole: $17/yr domain, $144/yr Hosting, $600/Holly only 2014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Increase</t>
        </r>
      </text>
    </comment>
    <comment ref="O2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2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25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M2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Flowers at entrance.</t>
        </r>
      </text>
    </comment>
    <comment ref="N2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Flowers at entrance.</t>
        </r>
      </text>
    </comment>
    <comment ref="O2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Flowers at entrance.</t>
        </r>
      </text>
    </comment>
    <comment ref="P2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Flowers at entrance.</t>
        </r>
      </text>
    </comment>
    <comment ref="Q29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Flowers at entrance.</t>
        </r>
      </text>
    </comment>
    <comment ref="M3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Pat at 15.5/hr x 52 weeks x 30 hr/week
Ted at 8.5/hr x 52 weeks x 20hr/week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Raise
</t>
        </r>
      </text>
    </comment>
    <comment ref="O3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Raise
</t>
        </r>
      </text>
    </comment>
    <comment ref="P3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Raise
</t>
        </r>
      </text>
    </comment>
    <comment ref="Q30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Raise
</t>
        </r>
      </text>
    </comment>
    <comment ref="M32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52*$15/hour times 20 hours/week</t>
        </r>
      </text>
    </comment>
    <comment ref="N32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Raise
</t>
        </r>
      </text>
    </comment>
    <comment ref="O32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Raise
</t>
        </r>
      </text>
    </comment>
    <comment ref="P32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Raise
</t>
        </r>
      </text>
    </comment>
    <comment ref="Q32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Raise
</t>
        </r>
      </text>
    </comment>
    <comment ref="M3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Office Bonding Personnell</t>
        </r>
      </text>
    </comment>
    <comment ref="N3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O3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  <comment ref="Q33" authorId="0">
      <text>
        <r>
          <rPr>
            <b/>
            <sz val="9"/>
            <color indexed="81"/>
            <rFont val="Tahoma"/>
            <family val="2"/>
          </rPr>
          <t>Cory McGrath:</t>
        </r>
        <r>
          <rPr>
            <sz val="9"/>
            <color indexed="81"/>
            <rFont val="Tahoma"/>
            <family val="2"/>
          </rPr>
          <t xml:space="preserve">
CPI  Increase
</t>
        </r>
      </text>
    </comment>
  </commentList>
</comments>
</file>

<file path=xl/sharedStrings.xml><?xml version="1.0" encoding="utf-8"?>
<sst xmlns="http://schemas.openxmlformats.org/spreadsheetml/2006/main" count="1737" uniqueCount="309">
  <si>
    <t>Lodge &amp; Pool</t>
  </si>
  <si>
    <t>6204D · Pool Concessions</t>
  </si>
  <si>
    <t>6503 · Lodge Equipment &amp; Maintenance</t>
  </si>
  <si>
    <t>6504 · Natural Gas</t>
  </si>
  <si>
    <t>6506 · Lodge Outdoor Amenities</t>
  </si>
  <si>
    <t>6507 · Electricity</t>
  </si>
  <si>
    <t>6508 · Water - Lodge</t>
  </si>
  <si>
    <t>6509 · Water - Pool</t>
  </si>
  <si>
    <t>6510 · Telephone</t>
  </si>
  <si>
    <t>6520 · Swimming Lesson Expenses</t>
  </si>
  <si>
    <t>6520A · Swim Lesson - Labor</t>
  </si>
  <si>
    <t>6521 · Chemicals - Pool</t>
  </si>
  <si>
    <t>6522 · Lifeguards</t>
  </si>
  <si>
    <t>6523 · Pool Repair &amp; Maintenance</t>
  </si>
  <si>
    <t>6524A · Pool Fund</t>
  </si>
  <si>
    <t>6524B · Pool Fund Repairs</t>
  </si>
  <si>
    <t>6524C · Pool Improvements</t>
  </si>
  <si>
    <t>6526 · Pool Management - Labor</t>
  </si>
  <si>
    <t>6526B · Pool Staff Wages</t>
  </si>
  <si>
    <t>6531 · Lodge Cleaning - Labor</t>
  </si>
  <si>
    <t>6532 · Lodge &amp; Pool Contract Labor</t>
  </si>
  <si>
    <t>6533 · Lodge Supplies</t>
  </si>
  <si>
    <t>Lodge &amp; Pool - Other</t>
  </si>
  <si>
    <t>Total Lodge &amp; Pool</t>
  </si>
  <si>
    <t>Jul</t>
  </si>
  <si>
    <t>Oct</t>
  </si>
  <si>
    <t>Aug</t>
  </si>
  <si>
    <t>Sep</t>
  </si>
  <si>
    <t>Nov</t>
  </si>
  <si>
    <t>Dec</t>
  </si>
  <si>
    <t>Total</t>
  </si>
  <si>
    <t>Jun</t>
  </si>
  <si>
    <t>Campground</t>
  </si>
  <si>
    <t>6351 · Road &amp; Pad Repair</t>
  </si>
  <si>
    <t>6352 · Bath House Repair</t>
  </si>
  <si>
    <t>6353 · Electricity</t>
  </si>
  <si>
    <t>6355 · Water</t>
  </si>
  <si>
    <t>6356 · Restroom Cleaning</t>
  </si>
  <si>
    <t>6357 · Campground Amenities</t>
  </si>
  <si>
    <t>Total Campground</t>
  </si>
  <si>
    <t>Beach</t>
  </si>
  <si>
    <t>6354 · Boat Docks</t>
  </si>
  <si>
    <t>6451 · Beach House</t>
  </si>
  <si>
    <t>6455 · Beach</t>
  </si>
  <si>
    <t>6456 · Beachhouse cleaning</t>
  </si>
  <si>
    <t>6457 · Electricity</t>
  </si>
  <si>
    <t>6459 · Water</t>
  </si>
  <si>
    <t>6461 · Telephone</t>
  </si>
  <si>
    <t>6462 · Playground</t>
  </si>
  <si>
    <t>6463 · Pavilion</t>
  </si>
  <si>
    <t>Beach - Other</t>
  </si>
  <si>
    <t>Total Beach</t>
  </si>
  <si>
    <t>Property Owner Services</t>
  </si>
  <si>
    <t>6004 · Electricity</t>
  </si>
  <si>
    <t>6005 · Garbage Service</t>
  </si>
  <si>
    <t>6006 · Legal Fees</t>
  </si>
  <si>
    <t>6007 · General Postage</t>
  </si>
  <si>
    <t>6008 · Real Estate Tax</t>
  </si>
  <si>
    <t>6009 · Office Supplies</t>
  </si>
  <si>
    <t>6010 · Telephone</t>
  </si>
  <si>
    <t>6011 · Volunteer Services</t>
  </si>
  <si>
    <t>7000 · Penalties</t>
  </si>
  <si>
    <t>6014 · Commercial Property Insurance</t>
  </si>
  <si>
    <t>6015 · Insurance Liab/Work Comp</t>
  </si>
  <si>
    <t>6016 · Employer FICA</t>
  </si>
  <si>
    <t>6017 · Miscellaneous</t>
  </si>
  <si>
    <t>6021 · Office Equipment</t>
  </si>
  <si>
    <t>6022 · Mileage Reimbursement</t>
  </si>
  <si>
    <t>6029 · Software</t>
  </si>
  <si>
    <t>6201 · Decals</t>
  </si>
  <si>
    <t>6203 · Newspaper Ads</t>
  </si>
  <si>
    <t>6206 · Lake Association Memberships</t>
  </si>
  <si>
    <t>6208 · Printing &amp; Copying</t>
  </si>
  <si>
    <t>6209 · Website Maintenance</t>
  </si>
  <si>
    <t>6210 · Property Inspections</t>
  </si>
  <si>
    <t>6211 · Fundraising</t>
  </si>
  <si>
    <t>6212 · Training</t>
  </si>
  <si>
    <t>6308 · Beautfication Efforts</t>
  </si>
  <si>
    <t>6423 · Maintenance Lead - Labor</t>
  </si>
  <si>
    <t>6425 · Interest Expense</t>
  </si>
  <si>
    <t>6560 · Property Owner Services - Labor</t>
  </si>
  <si>
    <t>8000 · Bonding Insurance</t>
  </si>
  <si>
    <t>Property Owner Services - Other</t>
  </si>
  <si>
    <t>Total Property Owner Services</t>
  </si>
  <si>
    <t>Roads and Mowing</t>
  </si>
  <si>
    <t>6401 · Road Upgrades (Road Fund)</t>
  </si>
  <si>
    <t>6402 · Road Repair</t>
  </si>
  <si>
    <t>6402A · Interest Expense</t>
  </si>
  <si>
    <t>6403 · Equipment Purchase</t>
  </si>
  <si>
    <t>6405 · Equipment Repair</t>
  </si>
  <si>
    <t>6406 · Equipment Lease</t>
  </si>
  <si>
    <t>6407 · Gasoline</t>
  </si>
  <si>
    <t>6409 · Propane &amp; Heating Fuel</t>
  </si>
  <si>
    <t>6410 · Vehicle License</t>
  </si>
  <si>
    <t>6411 · Mowing Contract</t>
  </si>
  <si>
    <t>6413 · Electricity</t>
  </si>
  <si>
    <t>6414 · Water</t>
  </si>
  <si>
    <t>6415 · Snowplowing Equipment</t>
  </si>
  <si>
    <t>6416 · Cinders &amp; Salt</t>
  </si>
  <si>
    <t>6418 · Telephone</t>
  </si>
  <si>
    <t>6420 · Fence &amp; Signage</t>
  </si>
  <si>
    <t>6424 · General Maintenance Supplies</t>
  </si>
  <si>
    <t>6426 · Maintenance Part-Time Labor</t>
  </si>
  <si>
    <t>6427 · Maintenance Snow Plow Labor</t>
  </si>
  <si>
    <t>6465 · Mowing Service</t>
  </si>
  <si>
    <t>Roads and Mowing - Other</t>
  </si>
  <si>
    <t>Total Roads and Mowing</t>
  </si>
  <si>
    <t>Zoning and Security</t>
  </si>
  <si>
    <t>6202 · Enforcement</t>
  </si>
  <si>
    <t>6204 · Zoning and Security - Other</t>
  </si>
  <si>
    <t>Total Zoning and Security</t>
  </si>
  <si>
    <t>Conservation</t>
  </si>
  <si>
    <t>6303 · Chemicals and Spraying - Lake</t>
  </si>
  <si>
    <t>6305 · Lake &amp; Dam Upgrades (Lake Fund)</t>
  </si>
  <si>
    <t>6307 · Restock Fish</t>
  </si>
  <si>
    <t>6309 · Sediment Basin Maintenance</t>
  </si>
  <si>
    <t>6310 · Fish Habitat Improvements</t>
  </si>
  <si>
    <t>6311 · Mowing Grass on Dam</t>
  </si>
  <si>
    <t>Conservation - Other</t>
  </si>
  <si>
    <t>Total Conservation</t>
  </si>
  <si>
    <t>Jan</t>
  </si>
  <si>
    <t>Feb</t>
  </si>
  <si>
    <t>Mar</t>
  </si>
  <si>
    <t>6002 · Contract Bookkeeping</t>
  </si>
  <si>
    <t>6003 · Collection Expense</t>
  </si>
  <si>
    <t>6013 · Bank Service Charge</t>
  </si>
  <si>
    <t>6019 · Depreciation</t>
  </si>
  <si>
    <t>6020 · Bad Debt - Admin</t>
  </si>
  <si>
    <t>Finance</t>
  </si>
  <si>
    <t>Apr</t>
  </si>
  <si>
    <t>May</t>
  </si>
  <si>
    <t>Check</t>
  </si>
  <si>
    <t>5 Year Forecast</t>
  </si>
  <si>
    <t>2014 By Month</t>
  </si>
  <si>
    <t>Major Initiatives - Please list major projects, $ impact and year proposed</t>
  </si>
  <si>
    <t>Aug 13</t>
  </si>
  <si>
    <t>Jan - Aug 13</t>
  </si>
  <si>
    <t>Ordinary Income/Expense</t>
  </si>
  <si>
    <t>Income</t>
  </si>
  <si>
    <t>4001 · Assessment Earnings</t>
  </si>
  <si>
    <t>4003 · Lodge Rent</t>
  </si>
  <si>
    <t>4004 · Road Fund Receipts</t>
  </si>
  <si>
    <t>4005 · Transfer Fees</t>
  </si>
  <si>
    <t>4006 · Collection Fees/Assessments</t>
  </si>
  <si>
    <t>4007 · Building Permits</t>
  </si>
  <si>
    <t>4008 · Pool Concession Receipts</t>
  </si>
  <si>
    <t>4010 · Pool - Member Season Passes</t>
  </si>
  <si>
    <t>4011 · Campground Fees</t>
  </si>
  <si>
    <t>4013 · Misc Ass'n Income</t>
  </si>
  <si>
    <t>4014 · Lot Sales</t>
  </si>
  <si>
    <t>4016 · Citation Fees</t>
  </si>
  <si>
    <t>4018 · Pool - General Admissions</t>
  </si>
  <si>
    <t>4024 · Lake Fund</t>
  </si>
  <si>
    <t>4029 · Swimming Lessons</t>
  </si>
  <si>
    <t>4201 · Interest on 1000 (Assessments)</t>
  </si>
  <si>
    <t>4203 · Interest on 1003 Lake Fund</t>
  </si>
  <si>
    <t>4204 · Interest on 1004 (Road Fund)</t>
  </si>
  <si>
    <t>4205 · Interest on 1005 General Funds</t>
  </si>
  <si>
    <t>Total Income</t>
  </si>
  <si>
    <t>Gross Profit</t>
  </si>
  <si>
    <t>Expense</t>
  </si>
  <si>
    <t>Outdoor Amenities</t>
  </si>
  <si>
    <t>Total Outdoor Amenities</t>
  </si>
  <si>
    <t>6012 · Unemployment Taxes</t>
  </si>
  <si>
    <t>Total Expense</t>
  </si>
  <si>
    <t>Total Finance</t>
  </si>
  <si>
    <t>6535 · license</t>
  </si>
  <si>
    <t>66900 · Reconciliation Discrepancies</t>
  </si>
  <si>
    <t>Net Ordinary Income</t>
  </si>
  <si>
    <t>Net Income</t>
  </si>
  <si>
    <t>Aug Ann.</t>
  </si>
  <si>
    <t>10 YR Avg.</t>
  </si>
  <si>
    <t>`</t>
  </si>
  <si>
    <t>Finance &amp; License</t>
  </si>
  <si>
    <t>Total Finance &amp; License</t>
  </si>
  <si>
    <t>Revenue</t>
  </si>
  <si>
    <t>Total Revenue</t>
  </si>
  <si>
    <t>2014</t>
  </si>
  <si>
    <t>Reveue</t>
  </si>
  <si>
    <t>5 Year Potential Major Programs</t>
  </si>
  <si>
    <t xml:space="preserve">Permanent Bathrooms at Ball Field </t>
  </si>
  <si>
    <t>New Boat Ramp, office, supply store</t>
  </si>
  <si>
    <t>New Bath House at Beach</t>
  </si>
  <si>
    <t>Larger Swim area, dock with dive board</t>
  </si>
  <si>
    <t>New Bath House at Campground</t>
  </si>
  <si>
    <t>Play set at Ball Field</t>
  </si>
  <si>
    <t>Office Relocation</t>
  </si>
  <si>
    <t>Lodge support beans</t>
  </si>
  <si>
    <t>Lodge Outside lights</t>
  </si>
  <si>
    <t>Playground sand at Pool</t>
  </si>
  <si>
    <t>Paint Tennis courts</t>
  </si>
  <si>
    <t>Replace Diving Board</t>
  </si>
  <si>
    <t>Paint Pool</t>
  </si>
  <si>
    <t>Pool Vaccum</t>
  </si>
  <si>
    <t>Pool Pump</t>
  </si>
  <si>
    <t>Road Repair</t>
  </si>
  <si>
    <t>Pool Filter Tanks</t>
  </si>
  <si>
    <t>Raise Increase</t>
  </si>
  <si>
    <t>Wages</t>
  </si>
  <si>
    <t>Rate</t>
  </si>
  <si>
    <t>Position</t>
  </si>
  <si>
    <t>Hours/Wk</t>
  </si>
  <si>
    <t>Weeks in Year</t>
  </si>
  <si>
    <t>Office Manager</t>
  </si>
  <si>
    <t>Lifeguard</t>
  </si>
  <si>
    <t>Pool Manager</t>
  </si>
  <si>
    <t>Maintenance #1</t>
  </si>
  <si>
    <t>Maintenance#2</t>
  </si>
  <si>
    <t>Cleaner #1</t>
  </si>
  <si>
    <t>Security</t>
  </si>
  <si>
    <t>Enter Additional weekly hours</t>
  </si>
  <si>
    <t>Fix formula in 2015</t>
  </si>
  <si>
    <t>Formula Driven on Worksheets</t>
  </si>
  <si>
    <t>Manual Inputs</t>
  </si>
  <si>
    <t>Maintenance #3 (SnowPlow)</t>
  </si>
  <si>
    <t>Uncollectible %</t>
  </si>
  <si>
    <t>Collection Fee</t>
  </si>
  <si>
    <t>All  Check</t>
  </si>
  <si>
    <t>Priority</t>
  </si>
  <si>
    <t>Year</t>
  </si>
  <si>
    <t>Improvement</t>
  </si>
  <si>
    <t>Spread over 5 Years</t>
  </si>
  <si>
    <t>Additional costs per lot owner</t>
  </si>
  <si>
    <t>% increase over current assessment</t>
  </si>
  <si>
    <t>Oustanding Funding Needs</t>
  </si>
  <si>
    <t>Notes:</t>
  </si>
  <si>
    <t>Could we prioritize these projects to fit a few in per year</t>
  </si>
  <si>
    <t>Would not leave any emergency fund build up</t>
  </si>
  <si>
    <t>Yr in Budget</t>
  </si>
  <si>
    <t>Amount</t>
  </si>
  <si>
    <t>Emergency Fund:  Suggested Amount is 12/31/2013 Balance in General Fund.</t>
  </si>
  <si>
    <t>NA</t>
  </si>
  <si>
    <t># of Owners</t>
  </si>
  <si>
    <t># of Billable Lots</t>
  </si>
  <si>
    <t>Annual Assessment</t>
  </si>
  <si>
    <t>Road Assessment</t>
  </si>
  <si>
    <t>Lake Assessment</t>
  </si>
  <si>
    <t>Current Year</t>
  </si>
  <si>
    <t>Prior Year</t>
  </si>
  <si>
    <t>5 Year Budget</t>
  </si>
  <si>
    <t>CPI-W Increase</t>
  </si>
  <si>
    <t>Expense Items</t>
  </si>
  <si>
    <t>Item</t>
  </si>
  <si>
    <t>General Liab Insurance</t>
  </si>
  <si>
    <t>Worker's Comp.</t>
  </si>
  <si>
    <t>Month</t>
  </si>
  <si>
    <t>D&amp;O Insurance</t>
  </si>
  <si>
    <t>Months in Year</t>
  </si>
  <si>
    <t>FICA Tax</t>
  </si>
  <si>
    <t>Unemployment Tax</t>
  </si>
  <si>
    <t>Garbage</t>
  </si>
  <si>
    <t>Quarterly</t>
  </si>
  <si>
    <t>Quarters in Year</t>
  </si>
  <si>
    <t>Mileage Reimbursement</t>
  </si>
  <si>
    <t>Mile</t>
  </si>
  <si>
    <t>Quantity</t>
  </si>
  <si>
    <t>Car Stickers</t>
  </si>
  <si>
    <t>Golf Cart Sticker</t>
  </si>
  <si>
    <t>Office Employee Bonding Ins.</t>
  </si>
  <si>
    <t>Unit of Measure</t>
  </si>
  <si>
    <t>Revenue Items</t>
  </si>
  <si>
    <t>Lake Interest</t>
  </si>
  <si>
    <t>Road Interest</t>
  </si>
  <si>
    <t>Factors</t>
  </si>
  <si>
    <t>% left Over of General goes to Emergency Fund.</t>
  </si>
  <si>
    <t>Change</t>
  </si>
  <si>
    <t>6536 · Emergency Fund Exp.</t>
  </si>
  <si>
    <t>Emergency Fund %</t>
  </si>
  <si>
    <t>Road Repair (General Fund)</t>
  </si>
  <si>
    <t>GENERAL FUND</t>
  </si>
  <si>
    <t>ROAD FUND</t>
  </si>
  <si>
    <t>LAKE FUND</t>
  </si>
  <si>
    <t>Next Fiscal Year</t>
  </si>
  <si>
    <t>Change in Accts Rec.</t>
  </si>
  <si>
    <t>Allowance for Debtful Accts</t>
  </si>
  <si>
    <t>Depreciation</t>
  </si>
  <si>
    <t>Change in Accts Payable</t>
  </si>
  <si>
    <t>Change in Payroll Liab.</t>
  </si>
  <si>
    <t xml:space="preserve">Net Cash Increase </t>
  </si>
  <si>
    <t>Total HLA</t>
  </si>
  <si>
    <t>Total General Fund</t>
  </si>
  <si>
    <t>Total Road Fund</t>
  </si>
  <si>
    <t>Total Lake Fund</t>
  </si>
  <si>
    <t>Cash Balance Estimates at Year End</t>
  </si>
  <si>
    <t>General</t>
  </si>
  <si>
    <t>Road</t>
  </si>
  <si>
    <t xml:space="preserve">Lake </t>
  </si>
  <si>
    <t>Emergency</t>
  </si>
  <si>
    <t>Emergency Fund</t>
  </si>
  <si>
    <t>Cash at the End of Year</t>
  </si>
  <si>
    <t>General Fund</t>
  </si>
  <si>
    <t>Lake Fund</t>
  </si>
  <si>
    <t>Road Fund</t>
  </si>
  <si>
    <t>Cash at the Beginning of Year</t>
  </si>
  <si>
    <t>Expenditures</t>
  </si>
  <si>
    <t>Lodge Support Beam Repair</t>
  </si>
  <si>
    <t>Base of Diving Board Replacement</t>
  </si>
  <si>
    <t>Sand at Under Playground at Pool</t>
  </si>
  <si>
    <t>Outside Lights at the Lodge</t>
  </si>
  <si>
    <t>Tennis Court Repairs/Paint</t>
  </si>
  <si>
    <t>Painting of Pool</t>
  </si>
  <si>
    <t>Total Lots</t>
  </si>
  <si>
    <t>Mower</t>
  </si>
  <si>
    <t xml:space="preserve">SnowPlow </t>
  </si>
  <si>
    <t>SnowPlow</t>
  </si>
  <si>
    <t>7000 · Office Rent</t>
  </si>
  <si>
    <t>Office Rent</t>
  </si>
  <si>
    <t>Net Operating Activities</t>
  </si>
  <si>
    <t>EMERGENCY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</si>
</sst>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_(&quot;$&quot;* #,##0_);_(&quot;$&quot;* \(#,##0\);_(&quot;$&quot;* &quot;-&quot;??_);_(@_)"/>
    <numFmt numFmtId="166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theme="1"/>
      <name val="Arial Blac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49" fontId="3" fillId="0" borderId="0" xfId="0" applyNumberFormat="1" applyFont="1"/>
    <xf numFmtId="164" fontId="4" fillId="0" borderId="0" xfId="0" applyNumberFormat="1" applyFont="1"/>
    <xf numFmtId="164" fontId="4" fillId="0" borderId="1" xfId="0" applyNumberFormat="1" applyFont="1" applyBorder="1"/>
    <xf numFmtId="0" fontId="0" fillId="2" borderId="0" xfId="0" applyFill="1"/>
    <xf numFmtId="0" fontId="0" fillId="0" borderId="2" xfId="0" quotePrefix="1" applyBorder="1"/>
    <xf numFmtId="0" fontId="0" fillId="0" borderId="2" xfId="0" applyBorder="1"/>
    <xf numFmtId="165" fontId="4" fillId="0" borderId="6" xfId="2" applyNumberFormat="1" applyFont="1" applyBorder="1"/>
    <xf numFmtId="0" fontId="2" fillId="0" borderId="0" xfId="0" applyFont="1"/>
    <xf numFmtId="164" fontId="4" fillId="0" borderId="0" xfId="0" applyNumberFormat="1" applyFont="1" applyBorder="1"/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43" fontId="0" fillId="0" borderId="0" xfId="1" applyFont="1"/>
    <xf numFmtId="43" fontId="4" fillId="0" borderId="0" xfId="1" applyFont="1"/>
    <xf numFmtId="43" fontId="4" fillId="0" borderId="1" xfId="1" applyFont="1" applyBorder="1"/>
    <xf numFmtId="43" fontId="4" fillId="0" borderId="6" xfId="1" applyFont="1" applyBorder="1"/>
    <xf numFmtId="49" fontId="3" fillId="0" borderId="0" xfId="3" applyNumberFormat="1" applyFont="1"/>
    <xf numFmtId="49" fontId="6" fillId="0" borderId="0" xfId="3" applyNumberFormat="1" applyBorder="1" applyAlignment="1">
      <alignment horizontal="centerContinuous"/>
    </xf>
    <xf numFmtId="49" fontId="6" fillId="0" borderId="7" xfId="3" applyNumberFormat="1" applyBorder="1" applyAlignment="1">
      <alignment horizontal="centerContinuous"/>
    </xf>
    <xf numFmtId="0" fontId="6" fillId="0" borderId="0" xfId="3"/>
    <xf numFmtId="49" fontId="3" fillId="0" borderId="0" xfId="3" applyNumberFormat="1" applyFont="1" applyAlignment="1">
      <alignment horizontal="center"/>
    </xf>
    <xf numFmtId="49" fontId="3" fillId="0" borderId="8" xfId="3" applyNumberFormat="1" applyFont="1" applyBorder="1" applyAlignment="1">
      <alignment horizontal="center"/>
    </xf>
    <xf numFmtId="49" fontId="6" fillId="0" borderId="0" xfId="3" applyNumberFormat="1" applyAlignment="1">
      <alignment horizontal="center"/>
    </xf>
    <xf numFmtId="0" fontId="6" fillId="0" borderId="0" xfId="3" applyAlignment="1">
      <alignment horizontal="center"/>
    </xf>
    <xf numFmtId="164" fontId="4" fillId="0" borderId="0" xfId="3" applyNumberFormat="1" applyFont="1"/>
    <xf numFmtId="49" fontId="4" fillId="0" borderId="0" xfId="3" applyNumberFormat="1" applyFont="1"/>
    <xf numFmtId="164" fontId="4" fillId="0" borderId="0" xfId="3" applyNumberFormat="1" applyFont="1" applyBorder="1"/>
    <xf numFmtId="164" fontId="4" fillId="0" borderId="9" xfId="3" applyNumberFormat="1" applyFont="1" applyBorder="1"/>
    <xf numFmtId="164" fontId="4" fillId="0" borderId="1" xfId="3" applyNumberFormat="1" applyFont="1" applyBorder="1"/>
    <xf numFmtId="164" fontId="4" fillId="0" borderId="10" xfId="3" applyNumberFormat="1" applyFont="1" applyBorder="1"/>
    <xf numFmtId="164" fontId="3" fillId="0" borderId="6" xfId="3" applyNumberFormat="1" applyFont="1" applyBorder="1"/>
    <xf numFmtId="0" fontId="3" fillId="0" borderId="0" xfId="3" applyFont="1"/>
    <xf numFmtId="0" fontId="3" fillId="0" borderId="0" xfId="3" applyNumberFormat="1" applyFont="1"/>
    <xf numFmtId="0" fontId="6" fillId="0" borderId="0" xfId="3" applyNumberFormat="1"/>
    <xf numFmtId="164" fontId="4" fillId="0" borderId="10" xfId="0" applyNumberFormat="1" applyFont="1" applyBorder="1"/>
    <xf numFmtId="43" fontId="0" fillId="0" borderId="0" xfId="0" applyNumberFormat="1"/>
    <xf numFmtId="4" fontId="0" fillId="0" borderId="0" xfId="0" applyNumberFormat="1"/>
    <xf numFmtId="166" fontId="0" fillId="0" borderId="0" xfId="1" applyNumberFormat="1" applyFont="1"/>
    <xf numFmtId="0" fontId="0" fillId="0" borderId="0" xfId="0" quotePrefix="1"/>
    <xf numFmtId="166" fontId="0" fillId="2" borderId="0" xfId="1" applyNumberFormat="1" applyFont="1" applyFill="1"/>
    <xf numFmtId="166" fontId="4" fillId="2" borderId="1" xfId="1" applyNumberFormat="1" applyFont="1" applyFill="1" applyBorder="1"/>
    <xf numFmtId="166" fontId="4" fillId="2" borderId="0" xfId="1" applyNumberFormat="1" applyFont="1" applyFill="1"/>
    <xf numFmtId="166" fontId="4" fillId="2" borderId="0" xfId="1" applyNumberFormat="1" applyFont="1" applyFill="1" applyBorder="1"/>
    <xf numFmtId="43" fontId="10" fillId="0" borderId="0" xfId="1" applyFont="1"/>
    <xf numFmtId="166" fontId="10" fillId="2" borderId="0" xfId="1" applyNumberFormat="1" applyFont="1" applyFill="1"/>
    <xf numFmtId="0" fontId="0" fillId="3" borderId="0" xfId="0" applyFill="1"/>
    <xf numFmtId="43" fontId="10" fillId="2" borderId="0" xfId="1" applyFont="1" applyFill="1"/>
    <xf numFmtId="0" fontId="10" fillId="2" borderId="0" xfId="0" applyFont="1" applyFill="1"/>
    <xf numFmtId="13" fontId="10" fillId="2" borderId="0" xfId="1" applyNumberFormat="1" applyFont="1" applyFill="1"/>
    <xf numFmtId="166" fontId="10" fillId="3" borderId="0" xfId="1" applyNumberFormat="1" applyFont="1" applyFill="1"/>
    <xf numFmtId="0" fontId="2" fillId="0" borderId="2" xfId="0" applyFont="1" applyBorder="1"/>
    <xf numFmtId="10" fontId="11" fillId="0" borderId="0" xfId="0" applyNumberFormat="1" applyFont="1" applyProtection="1">
      <protection hidden="1"/>
    </xf>
    <xf numFmtId="9" fontId="11" fillId="0" borderId="0" xfId="0" applyNumberFormat="1" applyFont="1" applyProtection="1">
      <protection hidden="1"/>
    </xf>
    <xf numFmtId="166" fontId="4" fillId="3" borderId="0" xfId="1" applyNumberFormat="1" applyFont="1" applyFill="1"/>
    <xf numFmtId="166" fontId="4" fillId="3" borderId="1" xfId="1" applyNumberFormat="1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0" fillId="4" borderId="0" xfId="0" applyFill="1"/>
    <xf numFmtId="166" fontId="0" fillId="3" borderId="0" xfId="1" applyNumberFormat="1" applyFont="1" applyFill="1"/>
    <xf numFmtId="166" fontId="0" fillId="3" borderId="1" xfId="1" applyNumberFormat="1" applyFont="1" applyFill="1" applyBorder="1"/>
    <xf numFmtId="166" fontId="12" fillId="2" borderId="0" xfId="1" applyNumberFormat="1" applyFont="1" applyFill="1"/>
    <xf numFmtId="43" fontId="10" fillId="3" borderId="0" xfId="1" applyFont="1" applyFill="1"/>
    <xf numFmtId="0" fontId="13" fillId="0" borderId="0" xfId="0" applyFont="1"/>
    <xf numFmtId="9" fontId="0" fillId="0" borderId="0" xfId="4" applyFont="1"/>
    <xf numFmtId="43" fontId="0" fillId="0" borderId="0" xfId="1" applyFont="1" applyFill="1"/>
    <xf numFmtId="43" fontId="0" fillId="0" borderId="0" xfId="1" applyFont="1" applyBorder="1"/>
    <xf numFmtId="43" fontId="0" fillId="0" borderId="0" xfId="1" applyFont="1" applyFill="1" applyBorder="1"/>
    <xf numFmtId="43" fontId="0" fillId="0" borderId="2" xfId="1" applyFont="1" applyBorder="1"/>
    <xf numFmtId="43" fontId="0" fillId="0" borderId="13" xfId="1" applyFont="1" applyBorder="1"/>
    <xf numFmtId="0" fontId="2" fillId="0" borderId="2" xfId="0" applyFont="1" applyBorder="1" applyAlignment="1">
      <alignment wrapText="1"/>
    </xf>
    <xf numFmtId="10" fontId="0" fillId="2" borderId="0" xfId="0" applyNumberFormat="1" applyFill="1"/>
    <xf numFmtId="9" fontId="0" fillId="2" borderId="0" xfId="0" applyNumberFormat="1" applyFill="1"/>
    <xf numFmtId="43" fontId="0" fillId="2" borderId="0" xfId="1" applyFont="1" applyFill="1"/>
    <xf numFmtId="2" fontId="0" fillId="3" borderId="0" xfId="0" applyNumberFormat="1" applyFill="1"/>
    <xf numFmtId="166" fontId="10" fillId="3" borderId="0" xfId="1" applyNumberFormat="1" applyFont="1" applyFill="1" applyProtection="1">
      <protection hidden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0" xfId="0" applyProtection="1"/>
    <xf numFmtId="0" fontId="0" fillId="2" borderId="0" xfId="0" applyNumberFormat="1" applyFill="1"/>
    <xf numFmtId="9" fontId="0" fillId="2" borderId="0" xfId="0" applyNumberFormat="1" applyFill="1" applyProtection="1">
      <protection hidden="1"/>
    </xf>
    <xf numFmtId="49" fontId="15" fillId="0" borderId="1" xfId="1" quotePrefix="1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43" fontId="2" fillId="0" borderId="11" xfId="0" applyNumberFormat="1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 wrapText="1"/>
      <protection hidden="1"/>
    </xf>
    <xf numFmtId="0" fontId="2" fillId="0" borderId="0" xfId="0" applyFont="1" applyProtection="1">
      <protection hidden="1"/>
    </xf>
    <xf numFmtId="43" fontId="0" fillId="0" borderId="0" xfId="0" applyNumberFormat="1" applyProtection="1">
      <protection hidden="1"/>
    </xf>
    <xf numFmtId="43" fontId="0" fillId="0" borderId="13" xfId="0" applyNumberFormat="1" applyBorder="1" applyProtection="1">
      <protection hidden="1"/>
    </xf>
    <xf numFmtId="49" fontId="15" fillId="0" borderId="1" xfId="1" quotePrefix="1" applyNumberFormat="1" applyFont="1" applyBorder="1" applyAlignment="1" applyProtection="1">
      <alignment horizontal="center" vertical="center"/>
      <protection hidden="1"/>
    </xf>
    <xf numFmtId="49" fontId="15" fillId="0" borderId="0" xfId="1" quotePrefix="1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3" fontId="0" fillId="0" borderId="0" xfId="0" applyNumberFormat="1" applyBorder="1" applyProtection="1">
      <protection hidden="1"/>
    </xf>
    <xf numFmtId="0" fontId="0" fillId="0" borderId="0" xfId="0" quotePrefix="1" applyProtection="1">
      <protection hidden="1"/>
    </xf>
    <xf numFmtId="49" fontId="3" fillId="0" borderId="0" xfId="3" applyNumberFormat="1" applyFont="1" applyProtection="1">
      <protection hidden="1"/>
    </xf>
    <xf numFmtId="14" fontId="0" fillId="0" borderId="0" xfId="0" quotePrefix="1" applyNumberFormat="1" applyFill="1" applyProtection="1">
      <protection hidden="1"/>
    </xf>
    <xf numFmtId="43" fontId="0" fillId="0" borderId="0" xfId="1" applyFont="1" applyProtection="1">
      <protection hidden="1"/>
    </xf>
    <xf numFmtId="43" fontId="0" fillId="0" borderId="0" xfId="1" applyFont="1" applyAlignment="1" applyProtection="1">
      <alignment horizontal="right"/>
      <protection hidden="1"/>
    </xf>
    <xf numFmtId="10" fontId="0" fillId="0" borderId="0" xfId="1" applyNumberFormat="1" applyFont="1" applyProtection="1">
      <protection hidden="1"/>
    </xf>
    <xf numFmtId="9" fontId="0" fillId="0" borderId="0" xfId="1" applyNumberFormat="1" applyFont="1" applyProtection="1">
      <protection hidden="1"/>
    </xf>
    <xf numFmtId="166" fontId="0" fillId="0" borderId="0" xfId="1" applyNumberFormat="1" applyFont="1" applyProtection="1">
      <protection hidden="1"/>
    </xf>
    <xf numFmtId="49" fontId="3" fillId="0" borderId="0" xfId="3" applyNumberFormat="1" applyFont="1" applyAlignment="1" applyProtection="1">
      <alignment horizontal="center"/>
      <protection hidden="1"/>
    </xf>
    <xf numFmtId="43" fontId="7" fillId="0" borderId="11" xfId="1" applyFont="1" applyBorder="1" applyAlignment="1" applyProtection="1">
      <alignment horizontal="center"/>
      <protection hidden="1"/>
    </xf>
    <xf numFmtId="43" fontId="7" fillId="0" borderId="9" xfId="1" applyFont="1" applyBorder="1" applyAlignment="1" applyProtection="1">
      <alignment horizontal="center"/>
      <protection hidden="1"/>
    </xf>
    <xf numFmtId="43" fontId="7" fillId="0" borderId="12" xfId="1" applyFont="1" applyBorder="1" applyAlignment="1" applyProtection="1">
      <alignment horizontal="center"/>
      <protection hidden="1"/>
    </xf>
    <xf numFmtId="43" fontId="4" fillId="0" borderId="0" xfId="1" applyFont="1" applyProtection="1">
      <protection hidden="1"/>
    </xf>
    <xf numFmtId="0" fontId="3" fillId="0" borderId="0" xfId="3" applyNumberFormat="1" applyFont="1" applyProtection="1">
      <protection hidden="1"/>
    </xf>
    <xf numFmtId="43" fontId="15" fillId="0" borderId="1" xfId="1" quotePrefix="1" applyFont="1" applyBorder="1" applyAlignment="1" applyProtection="1">
      <alignment horizontal="center" vertical="center"/>
      <protection hidden="1"/>
    </xf>
    <xf numFmtId="43" fontId="14" fillId="0" borderId="1" xfId="1" applyFont="1" applyBorder="1" applyAlignment="1" applyProtection="1">
      <alignment horizontal="center"/>
      <protection hidden="1"/>
    </xf>
    <xf numFmtId="0" fontId="14" fillId="0" borderId="1" xfId="1" quotePrefix="1" applyNumberFormat="1" applyFont="1" applyBorder="1" applyAlignment="1" applyProtection="1">
      <alignment horizontal="center"/>
      <protection hidden="1"/>
    </xf>
    <xf numFmtId="166" fontId="14" fillId="0" borderId="0" xfId="1" applyNumberFormat="1" applyFont="1" applyFill="1" applyBorder="1" applyAlignment="1" applyProtection="1">
      <alignment horizontal="center"/>
      <protection hidden="1"/>
    </xf>
    <xf numFmtId="43" fontId="16" fillId="0" borderId="0" xfId="1" applyFont="1" applyFill="1" applyBorder="1" applyAlignment="1" applyProtection="1">
      <alignment horizontal="center"/>
      <protection hidden="1"/>
    </xf>
    <xf numFmtId="43" fontId="3" fillId="0" borderId="0" xfId="1" quotePrefix="1" applyFont="1" applyBorder="1" applyAlignment="1" applyProtection="1">
      <alignment horizontal="center" vertical="center"/>
      <protection hidden="1"/>
    </xf>
    <xf numFmtId="43" fontId="2" fillId="0" borderId="0" xfId="1" applyFont="1" applyBorder="1" applyAlignment="1" applyProtection="1">
      <alignment horizontal="center"/>
      <protection hidden="1"/>
    </xf>
    <xf numFmtId="43" fontId="2" fillId="0" borderId="0" xfId="1" quotePrefix="1" applyFont="1" applyBorder="1" applyAlignment="1" applyProtection="1">
      <alignment horizontal="center"/>
      <protection hidden="1"/>
    </xf>
    <xf numFmtId="166" fontId="2" fillId="0" borderId="0" xfId="1" applyNumberFormat="1" applyFont="1" applyFill="1" applyBorder="1" applyAlignment="1" applyProtection="1">
      <alignment horizontal="center"/>
      <protection hidden="1"/>
    </xf>
    <xf numFmtId="43" fontId="2" fillId="0" borderId="0" xfId="1" applyFont="1" applyFill="1" applyBorder="1" applyAlignment="1" applyProtection="1">
      <alignment horizontal="center"/>
      <protection hidden="1"/>
    </xf>
    <xf numFmtId="43" fontId="10" fillId="0" borderId="0" xfId="1" applyFont="1" applyProtection="1">
      <protection hidden="1"/>
    </xf>
    <xf numFmtId="43" fontId="4" fillId="0" borderId="9" xfId="1" applyFont="1" applyBorder="1" applyProtection="1">
      <protection hidden="1"/>
    </xf>
    <xf numFmtId="49" fontId="3" fillId="0" borderId="0" xfId="0" applyNumberFormat="1" applyFont="1" applyProtection="1">
      <protection hidden="1"/>
    </xf>
    <xf numFmtId="43" fontId="4" fillId="0" borderId="0" xfId="1" applyFont="1" applyBorder="1" applyProtection="1">
      <protection hidden="1"/>
    </xf>
    <xf numFmtId="43" fontId="4" fillId="0" borderId="1" xfId="1" applyFont="1" applyBorder="1" applyProtection="1">
      <protection hidden="1"/>
    </xf>
    <xf numFmtId="43" fontId="10" fillId="0" borderId="1" xfId="1" applyFont="1" applyBorder="1" applyProtection="1">
      <protection hidden="1"/>
    </xf>
    <xf numFmtId="43" fontId="4" fillId="0" borderId="10" xfId="1" applyFont="1" applyBorder="1" applyProtection="1">
      <protection hidden="1"/>
    </xf>
    <xf numFmtId="43" fontId="3" fillId="0" borderId="6" xfId="1" applyFont="1" applyBorder="1" applyProtection="1">
      <protection hidden="1"/>
    </xf>
    <xf numFmtId="43" fontId="6" fillId="0" borderId="0" xfId="1" applyFont="1" applyProtection="1">
      <protection hidden="1"/>
    </xf>
    <xf numFmtId="0" fontId="2" fillId="0" borderId="11" xfId="0" applyFont="1" applyBorder="1" applyAlignment="1" applyProtection="1">
      <alignment horizontal="center"/>
      <protection hidden="1"/>
    </xf>
    <xf numFmtId="43" fontId="0" fillId="2" borderId="0" xfId="1" applyFont="1" applyFill="1" applyProtection="1">
      <protection hidden="1"/>
    </xf>
    <xf numFmtId="43" fontId="0" fillId="0" borderId="2" xfId="1" applyFont="1" applyBorder="1" applyProtection="1">
      <protection hidden="1"/>
    </xf>
    <xf numFmtId="43" fontId="0" fillId="0" borderId="2" xfId="1" applyFont="1" applyFill="1" applyBorder="1" applyProtection="1">
      <protection hidden="1"/>
    </xf>
    <xf numFmtId="43" fontId="0" fillId="0" borderId="13" xfId="1" applyFont="1" applyBorder="1" applyProtection="1">
      <protection hidden="1"/>
    </xf>
    <xf numFmtId="14" fontId="2" fillId="0" borderId="0" xfId="0" quotePrefix="1" applyNumberFormat="1" applyFont="1" applyFill="1" applyProtection="1">
      <protection hidden="1"/>
    </xf>
    <xf numFmtId="0" fontId="17" fillId="0" borderId="0" xfId="0" applyFont="1" applyProtection="1">
      <protection hidden="1"/>
    </xf>
    <xf numFmtId="43" fontId="2" fillId="0" borderId="0" xfId="1" applyFont="1" applyProtection="1">
      <protection hidden="1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9457" name="FILTER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9458" name="HEADER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L50"/>
  <sheetViews>
    <sheetView workbookViewId="0">
      <selection activeCell="E20" sqref="E20"/>
    </sheetView>
  </sheetViews>
  <sheetFormatPr defaultRowHeight="15" x14ac:dyDescent="0.25"/>
  <cols>
    <col min="1" max="1" width="26.5703125" customWidth="1"/>
    <col min="2" max="2" width="14.140625" customWidth="1"/>
    <col min="3" max="3" width="10.5703125" customWidth="1"/>
    <col min="5" max="5" width="10.5703125" bestFit="1" customWidth="1"/>
    <col min="7" max="7" width="13.7109375" customWidth="1"/>
    <col min="8" max="8" width="11.5703125" bestFit="1" customWidth="1"/>
  </cols>
  <sheetData>
    <row r="1" spans="1:6" ht="15.75" thickBot="1" x14ac:dyDescent="0.3">
      <c r="A1" s="84" t="s">
        <v>263</v>
      </c>
      <c r="B1" s="86"/>
      <c r="E1" s="45"/>
      <c r="F1" t="s">
        <v>212</v>
      </c>
    </row>
    <row r="2" spans="1:6" x14ac:dyDescent="0.25">
      <c r="A2" t="s">
        <v>272</v>
      </c>
      <c r="B2" s="79">
        <v>2014</v>
      </c>
      <c r="E2" s="4"/>
      <c r="F2" t="s">
        <v>213</v>
      </c>
    </row>
    <row r="3" spans="1:6" x14ac:dyDescent="0.25">
      <c r="A3" t="s">
        <v>240</v>
      </c>
      <c r="B3" s="70">
        <v>1.4999999999999999E-2</v>
      </c>
    </row>
    <row r="4" spans="1:6" x14ac:dyDescent="0.25">
      <c r="A4" t="s">
        <v>197</v>
      </c>
      <c r="B4" s="71">
        <v>0.03</v>
      </c>
    </row>
    <row r="5" spans="1:6" x14ac:dyDescent="0.25">
      <c r="A5" t="s">
        <v>202</v>
      </c>
      <c r="B5" s="4">
        <v>52</v>
      </c>
    </row>
    <row r="6" spans="1:6" x14ac:dyDescent="0.25">
      <c r="A6" t="s">
        <v>247</v>
      </c>
      <c r="B6" s="4">
        <v>12</v>
      </c>
      <c r="E6" s="56"/>
    </row>
    <row r="7" spans="1:6" x14ac:dyDescent="0.25">
      <c r="A7" t="s">
        <v>252</v>
      </c>
      <c r="B7" s="4">
        <v>4</v>
      </c>
      <c r="E7" s="56"/>
    </row>
    <row r="8" spans="1:6" x14ac:dyDescent="0.25">
      <c r="A8" t="s">
        <v>215</v>
      </c>
      <c r="B8" s="71">
        <v>0.04</v>
      </c>
    </row>
    <row r="9" spans="1:6" x14ac:dyDescent="0.25">
      <c r="A9" t="s">
        <v>216</v>
      </c>
      <c r="B9" s="71">
        <v>0.25</v>
      </c>
    </row>
    <row r="10" spans="1:6" x14ac:dyDescent="0.25">
      <c r="A10" t="s">
        <v>232</v>
      </c>
      <c r="B10" s="4">
        <v>651</v>
      </c>
      <c r="D10" s="50" t="s">
        <v>301</v>
      </c>
    </row>
    <row r="11" spans="1:6" x14ac:dyDescent="0.25">
      <c r="A11" t="s">
        <v>233</v>
      </c>
      <c r="B11" s="4">
        <v>1075</v>
      </c>
      <c r="D11">
        <v>1118</v>
      </c>
    </row>
    <row r="12" spans="1:6" x14ac:dyDescent="0.25">
      <c r="A12" t="s">
        <v>267</v>
      </c>
      <c r="B12" s="80">
        <v>0.05</v>
      </c>
    </row>
    <row r="15" spans="1:6" x14ac:dyDescent="0.25">
      <c r="B15" s="50" t="s">
        <v>237</v>
      </c>
      <c r="C15" s="69" t="s">
        <v>238</v>
      </c>
    </row>
    <row r="16" spans="1:6" x14ac:dyDescent="0.25">
      <c r="A16" t="s">
        <v>234</v>
      </c>
      <c r="B16" s="73">
        <f>+C16*(1+$B$3)</f>
        <v>230.15124999999998</v>
      </c>
      <c r="C16" s="4">
        <v>226.75</v>
      </c>
    </row>
    <row r="17" spans="1:5" x14ac:dyDescent="0.25">
      <c r="A17" t="s">
        <v>235</v>
      </c>
      <c r="B17" s="73">
        <f t="shared" ref="B17:B18" si="0">+C17*(1+$B$3)</f>
        <v>80.347399999999993</v>
      </c>
      <c r="C17" s="4">
        <v>79.16</v>
      </c>
    </row>
    <row r="18" spans="1:5" x14ac:dyDescent="0.25">
      <c r="A18" t="s">
        <v>236</v>
      </c>
      <c r="B18" s="73">
        <f t="shared" si="0"/>
        <v>61.854099999999988</v>
      </c>
      <c r="C18" s="4">
        <v>60.94</v>
      </c>
    </row>
    <row r="22" spans="1:5" x14ac:dyDescent="0.25">
      <c r="A22" s="8" t="s">
        <v>198</v>
      </c>
    </row>
    <row r="23" spans="1:5" x14ac:dyDescent="0.25">
      <c r="A23" s="50" t="s">
        <v>200</v>
      </c>
      <c r="B23" s="50" t="s">
        <v>199</v>
      </c>
      <c r="C23" s="69" t="s">
        <v>201</v>
      </c>
    </row>
    <row r="24" spans="1:5" x14ac:dyDescent="0.25">
      <c r="A24" t="s">
        <v>203</v>
      </c>
      <c r="B24" s="72">
        <v>15</v>
      </c>
      <c r="C24" s="4">
        <v>20</v>
      </c>
    </row>
    <row r="25" spans="1:5" x14ac:dyDescent="0.25">
      <c r="A25" t="s">
        <v>204</v>
      </c>
      <c r="B25" s="72"/>
      <c r="C25" s="4"/>
      <c r="D25" t="s">
        <v>211</v>
      </c>
    </row>
    <row r="26" spans="1:5" x14ac:dyDescent="0.25">
      <c r="A26" t="s">
        <v>205</v>
      </c>
      <c r="B26" s="72"/>
      <c r="C26" s="4"/>
      <c r="D26" t="s">
        <v>211</v>
      </c>
    </row>
    <row r="27" spans="1:5" x14ac:dyDescent="0.25">
      <c r="A27" t="s">
        <v>206</v>
      </c>
      <c r="B27" s="72">
        <v>15.5</v>
      </c>
      <c r="C27" s="4">
        <v>30</v>
      </c>
      <c r="E27" s="35"/>
    </row>
    <row r="28" spans="1:5" x14ac:dyDescent="0.25">
      <c r="A28" t="s">
        <v>207</v>
      </c>
      <c r="B28" s="72">
        <v>8.5</v>
      </c>
      <c r="C28" s="4">
        <v>15</v>
      </c>
    </row>
    <row r="29" spans="1:5" x14ac:dyDescent="0.25">
      <c r="A29" t="s">
        <v>214</v>
      </c>
      <c r="B29" s="72">
        <v>8.5</v>
      </c>
      <c r="C29" s="4">
        <v>5</v>
      </c>
    </row>
    <row r="30" spans="1:5" x14ac:dyDescent="0.25">
      <c r="A30" t="s">
        <v>208</v>
      </c>
      <c r="B30" s="72">
        <v>8.5</v>
      </c>
      <c r="C30" s="4">
        <v>5</v>
      </c>
    </row>
    <row r="31" spans="1:5" x14ac:dyDescent="0.25">
      <c r="A31" t="s">
        <v>209</v>
      </c>
      <c r="B31" s="72">
        <v>15.5</v>
      </c>
      <c r="C31" s="4">
        <v>9.25</v>
      </c>
      <c r="D31" s="35"/>
    </row>
    <row r="32" spans="1:5" x14ac:dyDescent="0.25">
      <c r="A32" t="s">
        <v>248</v>
      </c>
      <c r="B32" s="70">
        <v>7.6499999999999999E-2</v>
      </c>
      <c r="C32" s="4"/>
    </row>
    <row r="33" spans="1:12" x14ac:dyDescent="0.25">
      <c r="A33" t="s">
        <v>249</v>
      </c>
      <c r="B33" s="70">
        <v>1.4999999999999999E-2</v>
      </c>
      <c r="C33" s="4"/>
    </row>
    <row r="36" spans="1:12" ht="15.75" thickBot="1" x14ac:dyDescent="0.3"/>
    <row r="37" spans="1:12" ht="15.75" thickBot="1" x14ac:dyDescent="0.3">
      <c r="A37" s="84" t="s">
        <v>241</v>
      </c>
      <c r="B37" s="85"/>
      <c r="C37" s="85"/>
      <c r="D37" s="86"/>
      <c r="G37" s="84" t="s">
        <v>260</v>
      </c>
      <c r="H37" s="85"/>
      <c r="I37" s="85"/>
      <c r="J37" s="86"/>
    </row>
    <row r="38" spans="1:12" ht="30" x14ac:dyDescent="0.25">
      <c r="A38" s="76" t="s">
        <v>242</v>
      </c>
      <c r="B38" s="76" t="s">
        <v>199</v>
      </c>
      <c r="C38" s="77" t="s">
        <v>259</v>
      </c>
      <c r="D38" s="76" t="s">
        <v>255</v>
      </c>
      <c r="E38" s="75"/>
      <c r="F38" s="75"/>
      <c r="G38" s="76" t="s">
        <v>242</v>
      </c>
      <c r="H38" s="76" t="s">
        <v>199</v>
      </c>
      <c r="I38" s="77"/>
      <c r="J38" s="76"/>
    </row>
    <row r="39" spans="1:12" x14ac:dyDescent="0.25">
      <c r="A39" t="s">
        <v>243</v>
      </c>
      <c r="B39" s="4">
        <v>757</v>
      </c>
      <c r="C39" t="s">
        <v>245</v>
      </c>
      <c r="G39" t="s">
        <v>261</v>
      </c>
      <c r="H39" s="70">
        <v>2.5000000000000001E-3</v>
      </c>
    </row>
    <row r="40" spans="1:12" x14ac:dyDescent="0.25">
      <c r="A40" t="s">
        <v>244</v>
      </c>
      <c r="B40" s="4">
        <v>228</v>
      </c>
      <c r="C40" t="s">
        <v>245</v>
      </c>
      <c r="G40" t="s">
        <v>262</v>
      </c>
      <c r="H40" s="70">
        <v>1.5E-3</v>
      </c>
    </row>
    <row r="41" spans="1:12" x14ac:dyDescent="0.25">
      <c r="A41" t="s">
        <v>246</v>
      </c>
      <c r="B41" s="4">
        <v>114</v>
      </c>
      <c r="C41" t="s">
        <v>245</v>
      </c>
    </row>
    <row r="42" spans="1:12" x14ac:dyDescent="0.25">
      <c r="A42" t="s">
        <v>250</v>
      </c>
      <c r="B42" s="4">
        <v>335</v>
      </c>
      <c r="C42" t="s">
        <v>251</v>
      </c>
    </row>
    <row r="43" spans="1:12" x14ac:dyDescent="0.25">
      <c r="A43" t="s">
        <v>253</v>
      </c>
      <c r="B43" s="4">
        <v>0.55000000000000004</v>
      </c>
      <c r="C43" t="s">
        <v>254</v>
      </c>
      <c r="D43" s="4">
        <v>70</v>
      </c>
      <c r="L43" s="78"/>
    </row>
    <row r="44" spans="1:12" ht="15.75" thickBot="1" x14ac:dyDescent="0.3">
      <c r="A44" t="s">
        <v>256</v>
      </c>
      <c r="B44" s="4">
        <v>0.7</v>
      </c>
      <c r="C44" t="s">
        <v>242</v>
      </c>
      <c r="D44" s="4">
        <v>1000</v>
      </c>
    </row>
    <row r="45" spans="1:12" ht="15.75" thickBot="1" x14ac:dyDescent="0.3">
      <c r="A45" t="s">
        <v>257</v>
      </c>
      <c r="B45" s="4">
        <v>0.47</v>
      </c>
      <c r="C45" t="s">
        <v>242</v>
      </c>
      <c r="D45" s="4">
        <v>75</v>
      </c>
      <c r="G45" s="84" t="s">
        <v>283</v>
      </c>
      <c r="H45" s="85"/>
      <c r="I45" s="85"/>
      <c r="J45" s="86"/>
    </row>
    <row r="46" spans="1:12" x14ac:dyDescent="0.25">
      <c r="A46" t="s">
        <v>258</v>
      </c>
      <c r="B46" s="4">
        <v>105</v>
      </c>
      <c r="C46" t="s">
        <v>245</v>
      </c>
      <c r="G46" s="76" t="s">
        <v>242</v>
      </c>
      <c r="H46" s="76" t="s">
        <v>199</v>
      </c>
      <c r="I46" s="77"/>
      <c r="J46" s="76"/>
    </row>
    <row r="47" spans="1:12" x14ac:dyDescent="0.25">
      <c r="A47" t="s">
        <v>268</v>
      </c>
      <c r="B47" s="39">
        <v>0</v>
      </c>
      <c r="C47" t="s">
        <v>219</v>
      </c>
      <c r="G47" t="s">
        <v>284</v>
      </c>
      <c r="H47" s="72">
        <v>45000</v>
      </c>
    </row>
    <row r="48" spans="1:12" x14ac:dyDescent="0.25">
      <c r="A48" t="s">
        <v>306</v>
      </c>
      <c r="B48" s="39">
        <v>300</v>
      </c>
      <c r="C48" t="s">
        <v>245</v>
      </c>
      <c r="G48" t="s">
        <v>285</v>
      </c>
      <c r="H48" s="72">
        <v>50000</v>
      </c>
    </row>
    <row r="49" spans="7:8" x14ac:dyDescent="0.25">
      <c r="G49" t="s">
        <v>286</v>
      </c>
      <c r="H49" s="72">
        <v>145000</v>
      </c>
    </row>
    <row r="50" spans="7:8" x14ac:dyDescent="0.25">
      <c r="G50" t="s">
        <v>287</v>
      </c>
      <c r="H50" s="72">
        <v>50000</v>
      </c>
    </row>
  </sheetData>
  <mergeCells count="4">
    <mergeCell ref="A37:D37"/>
    <mergeCell ref="G37:J37"/>
    <mergeCell ref="A1:B1"/>
    <mergeCell ref="G45:J45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113"/>
  <sheetViews>
    <sheetView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I109" sqref="I109"/>
    </sheetView>
  </sheetViews>
  <sheetFormatPr defaultRowHeight="15" x14ac:dyDescent="0.25"/>
  <cols>
    <col min="1" max="7" width="3" style="32" customWidth="1"/>
    <col min="8" max="8" width="30.140625" style="32" customWidth="1"/>
    <col min="9" max="9" width="10.85546875" style="33" bestFit="1" customWidth="1"/>
    <col min="10" max="10" width="2.28515625" style="33" customWidth="1"/>
    <col min="11" max="11" width="15" style="33" bestFit="1" customWidth="1"/>
    <col min="12" max="16384" width="9.140625" style="19"/>
  </cols>
  <sheetData>
    <row r="1" spans="1:11" ht="15.75" thickBot="1" x14ac:dyDescent="0.3">
      <c r="A1" s="16"/>
      <c r="B1" s="16"/>
      <c r="C1" s="16"/>
      <c r="D1" s="16"/>
      <c r="E1" s="16"/>
      <c r="F1" s="16"/>
      <c r="G1" s="16"/>
      <c r="H1" s="16"/>
      <c r="I1" s="17"/>
      <c r="J1" s="18"/>
      <c r="K1" s="17"/>
    </row>
    <row r="2" spans="1:11" s="23" customFormat="1" ht="16.5" thickTop="1" thickBot="1" x14ac:dyDescent="0.3">
      <c r="A2" s="20"/>
      <c r="B2" s="20"/>
      <c r="C2" s="20"/>
      <c r="D2" s="20"/>
      <c r="E2" s="20"/>
      <c r="F2" s="20"/>
      <c r="G2" s="20"/>
      <c r="H2" s="20"/>
      <c r="I2" s="21" t="s">
        <v>135</v>
      </c>
      <c r="J2" s="22"/>
      <c r="K2" s="21" t="s">
        <v>136</v>
      </c>
    </row>
    <row r="3" spans="1:11" ht="15.75" thickTop="1" x14ac:dyDescent="0.25">
      <c r="A3" s="16"/>
      <c r="B3" s="16" t="s">
        <v>137</v>
      </c>
      <c r="C3" s="16"/>
      <c r="D3" s="16"/>
      <c r="E3" s="16"/>
      <c r="F3" s="16"/>
      <c r="G3" s="16"/>
      <c r="H3" s="16"/>
      <c r="I3" s="24"/>
      <c r="J3" s="25"/>
      <c r="K3" s="24"/>
    </row>
    <row r="4" spans="1:11" x14ac:dyDescent="0.25">
      <c r="A4" s="16"/>
      <c r="B4" s="16"/>
      <c r="C4" s="16"/>
      <c r="D4" s="16" t="s">
        <v>138</v>
      </c>
      <c r="E4" s="16"/>
      <c r="F4" s="16"/>
      <c r="G4" s="16"/>
      <c r="H4" s="16"/>
      <c r="I4" s="24"/>
      <c r="J4" s="25"/>
      <c r="K4" s="24"/>
    </row>
    <row r="5" spans="1:11" x14ac:dyDescent="0.25">
      <c r="A5" s="16"/>
      <c r="B5" s="16"/>
      <c r="C5" s="16"/>
      <c r="D5" s="16"/>
      <c r="E5" s="16" t="s">
        <v>139</v>
      </c>
      <c r="F5" s="16"/>
      <c r="G5" s="16"/>
      <c r="H5" s="16"/>
      <c r="I5" s="24">
        <v>0</v>
      </c>
      <c r="J5" s="25"/>
      <c r="K5" s="24">
        <v>235366.61</v>
      </c>
    </row>
    <row r="6" spans="1:11" x14ac:dyDescent="0.25">
      <c r="A6" s="16"/>
      <c r="B6" s="16"/>
      <c r="C6" s="16"/>
      <c r="D6" s="16"/>
      <c r="E6" s="16" t="s">
        <v>140</v>
      </c>
      <c r="F6" s="16"/>
      <c r="G6" s="16"/>
      <c r="H6" s="16"/>
      <c r="I6" s="24">
        <v>0</v>
      </c>
      <c r="J6" s="25"/>
      <c r="K6" s="24">
        <v>1500</v>
      </c>
    </row>
    <row r="7" spans="1:11" x14ac:dyDescent="0.25">
      <c r="A7" s="16"/>
      <c r="B7" s="16"/>
      <c r="C7" s="16"/>
      <c r="D7" s="16"/>
      <c r="E7" s="16" t="s">
        <v>141</v>
      </c>
      <c r="F7" s="16"/>
      <c r="G7" s="16"/>
      <c r="H7" s="16"/>
      <c r="I7" s="24">
        <v>0</v>
      </c>
      <c r="J7" s="25"/>
      <c r="K7" s="24">
        <v>52008.12</v>
      </c>
    </row>
    <row r="8" spans="1:11" x14ac:dyDescent="0.25">
      <c r="A8" s="16"/>
      <c r="B8" s="16"/>
      <c r="C8" s="16"/>
      <c r="D8" s="16"/>
      <c r="E8" s="16" t="s">
        <v>142</v>
      </c>
      <c r="F8" s="16"/>
      <c r="G8" s="16"/>
      <c r="H8" s="16"/>
      <c r="I8" s="24">
        <v>100</v>
      </c>
      <c r="J8" s="25"/>
      <c r="K8" s="24">
        <v>575</v>
      </c>
    </row>
    <row r="9" spans="1:11" x14ac:dyDescent="0.25">
      <c r="A9" s="16"/>
      <c r="B9" s="16"/>
      <c r="C9" s="16"/>
      <c r="D9" s="16"/>
      <c r="E9" s="16" t="s">
        <v>143</v>
      </c>
      <c r="F9" s="16"/>
      <c r="G9" s="16"/>
      <c r="H9" s="16"/>
      <c r="I9" s="24">
        <v>0</v>
      </c>
      <c r="J9" s="25"/>
      <c r="K9" s="24">
        <v>-25</v>
      </c>
    </row>
    <row r="10" spans="1:11" x14ac:dyDescent="0.25">
      <c r="A10" s="16"/>
      <c r="B10" s="16"/>
      <c r="C10" s="16"/>
      <c r="D10" s="16"/>
      <c r="E10" s="16" t="s">
        <v>144</v>
      </c>
      <c r="F10" s="16"/>
      <c r="G10" s="16"/>
      <c r="H10" s="16"/>
      <c r="I10" s="24">
        <v>30</v>
      </c>
      <c r="J10" s="25"/>
      <c r="K10" s="24">
        <v>120</v>
      </c>
    </row>
    <row r="11" spans="1:11" x14ac:dyDescent="0.25">
      <c r="A11" s="16"/>
      <c r="B11" s="16"/>
      <c r="C11" s="16"/>
      <c r="D11" s="16"/>
      <c r="E11" s="16" t="s">
        <v>145</v>
      </c>
      <c r="F11" s="16"/>
      <c r="G11" s="16"/>
      <c r="H11" s="16"/>
      <c r="I11" s="24">
        <v>249.95</v>
      </c>
      <c r="J11" s="25"/>
      <c r="K11" s="24">
        <v>1295.97</v>
      </c>
    </row>
    <row r="12" spans="1:11" x14ac:dyDescent="0.25">
      <c r="A12" s="16"/>
      <c r="B12" s="16"/>
      <c r="C12" s="16"/>
      <c r="D12" s="16"/>
      <c r="E12" s="16" t="s">
        <v>146</v>
      </c>
      <c r="F12" s="16"/>
      <c r="G12" s="16"/>
      <c r="H12" s="16"/>
      <c r="I12" s="24">
        <v>0</v>
      </c>
      <c r="J12" s="25"/>
      <c r="K12" s="24">
        <v>4673</v>
      </c>
    </row>
    <row r="13" spans="1:11" x14ac:dyDescent="0.25">
      <c r="A13" s="16"/>
      <c r="B13" s="16"/>
      <c r="C13" s="16"/>
      <c r="D13" s="16"/>
      <c r="E13" s="16" t="s">
        <v>147</v>
      </c>
      <c r="F13" s="16"/>
      <c r="G13" s="16"/>
      <c r="H13" s="16"/>
      <c r="I13" s="24">
        <v>60</v>
      </c>
      <c r="J13" s="25"/>
      <c r="K13" s="24">
        <v>210</v>
      </c>
    </row>
    <row r="14" spans="1:11" x14ac:dyDescent="0.25">
      <c r="A14" s="16"/>
      <c r="B14" s="16"/>
      <c r="C14" s="16"/>
      <c r="D14" s="16"/>
      <c r="E14" s="16" t="s">
        <v>148</v>
      </c>
      <c r="F14" s="16"/>
      <c r="G14" s="16"/>
      <c r="H14" s="16"/>
      <c r="I14" s="24">
        <v>47017.29</v>
      </c>
      <c r="J14" s="25"/>
      <c r="K14" s="24">
        <v>48168.59</v>
      </c>
    </row>
    <row r="15" spans="1:11" x14ac:dyDescent="0.25">
      <c r="A15" s="16"/>
      <c r="B15" s="16"/>
      <c r="C15" s="16"/>
      <c r="D15" s="16"/>
      <c r="E15" s="16" t="s">
        <v>149</v>
      </c>
      <c r="F15" s="16"/>
      <c r="G15" s="16"/>
      <c r="H15" s="16"/>
      <c r="I15" s="24">
        <v>100</v>
      </c>
      <c r="J15" s="25"/>
      <c r="K15" s="24">
        <v>300</v>
      </c>
    </row>
    <row r="16" spans="1:11" x14ac:dyDescent="0.25">
      <c r="A16" s="16"/>
      <c r="B16" s="16"/>
      <c r="C16" s="16"/>
      <c r="D16" s="16"/>
      <c r="E16" s="16" t="s">
        <v>150</v>
      </c>
      <c r="F16" s="16"/>
      <c r="G16" s="16"/>
      <c r="H16" s="16"/>
      <c r="I16" s="24">
        <v>0</v>
      </c>
      <c r="J16" s="25"/>
      <c r="K16" s="24">
        <v>400</v>
      </c>
    </row>
    <row r="17" spans="1:11" x14ac:dyDescent="0.25">
      <c r="A17" s="16"/>
      <c r="B17" s="16"/>
      <c r="C17" s="16"/>
      <c r="D17" s="16"/>
      <c r="E17" s="16" t="s">
        <v>151</v>
      </c>
      <c r="F17" s="16"/>
      <c r="G17" s="16"/>
      <c r="H17" s="16"/>
      <c r="I17" s="24">
        <v>521</v>
      </c>
      <c r="J17" s="25"/>
      <c r="K17" s="24">
        <v>2247.5500000000002</v>
      </c>
    </row>
    <row r="18" spans="1:11" x14ac:dyDescent="0.25">
      <c r="A18" s="16"/>
      <c r="B18" s="16"/>
      <c r="C18" s="16"/>
      <c r="D18" s="16"/>
      <c r="E18" s="16" t="s">
        <v>152</v>
      </c>
      <c r="F18" s="16"/>
      <c r="G18" s="16"/>
      <c r="H18" s="16"/>
      <c r="I18" s="24">
        <v>0</v>
      </c>
      <c r="J18" s="25"/>
      <c r="K18" s="24">
        <v>59.81</v>
      </c>
    </row>
    <row r="19" spans="1:11" x14ac:dyDescent="0.25">
      <c r="A19" s="16"/>
      <c r="B19" s="16"/>
      <c r="C19" s="16"/>
      <c r="D19" s="16"/>
      <c r="E19" s="16" t="s">
        <v>153</v>
      </c>
      <c r="F19" s="16"/>
      <c r="G19" s="16"/>
      <c r="H19" s="16"/>
      <c r="I19" s="24">
        <v>0</v>
      </c>
      <c r="J19" s="25"/>
      <c r="K19" s="24">
        <v>292</v>
      </c>
    </row>
    <row r="20" spans="1:11" x14ac:dyDescent="0.25">
      <c r="A20" s="16"/>
      <c r="B20" s="16"/>
      <c r="C20" s="16"/>
      <c r="D20" s="16"/>
      <c r="E20" s="16" t="s">
        <v>154</v>
      </c>
      <c r="F20" s="16"/>
      <c r="G20" s="16"/>
      <c r="H20" s="16"/>
      <c r="I20" s="24">
        <v>2.73</v>
      </c>
      <c r="J20" s="25"/>
      <c r="K20" s="24">
        <v>16.07</v>
      </c>
    </row>
    <row r="21" spans="1:11" x14ac:dyDescent="0.25">
      <c r="A21" s="16"/>
      <c r="B21" s="16"/>
      <c r="C21" s="16"/>
      <c r="D21" s="16"/>
      <c r="E21" s="16" t="s">
        <v>155</v>
      </c>
      <c r="F21" s="16"/>
      <c r="G21" s="16"/>
      <c r="H21" s="16"/>
      <c r="I21" s="24">
        <v>0</v>
      </c>
      <c r="J21" s="25"/>
      <c r="K21" s="24">
        <v>297.70999999999998</v>
      </c>
    </row>
    <row r="22" spans="1:11" x14ac:dyDescent="0.25">
      <c r="A22" s="16"/>
      <c r="B22" s="16"/>
      <c r="C22" s="16"/>
      <c r="D22" s="16"/>
      <c r="E22" s="16" t="s">
        <v>156</v>
      </c>
      <c r="F22" s="16"/>
      <c r="G22" s="16"/>
      <c r="H22" s="16"/>
      <c r="I22" s="24">
        <v>5.42</v>
      </c>
      <c r="J22" s="25"/>
      <c r="K22" s="24">
        <v>8.93</v>
      </c>
    </row>
    <row r="23" spans="1:11" ht="15.75" thickBot="1" x14ac:dyDescent="0.3">
      <c r="A23" s="16"/>
      <c r="B23" s="16"/>
      <c r="C23" s="16"/>
      <c r="D23" s="16"/>
      <c r="E23" s="16" t="s">
        <v>157</v>
      </c>
      <c r="F23" s="16"/>
      <c r="G23" s="16"/>
      <c r="H23" s="16"/>
      <c r="I23" s="26">
        <v>0</v>
      </c>
      <c r="J23" s="25"/>
      <c r="K23" s="26">
        <v>0.93</v>
      </c>
    </row>
    <row r="24" spans="1:11" ht="15.75" thickBot="1" x14ac:dyDescent="0.3">
      <c r="A24" s="16"/>
      <c r="B24" s="16"/>
      <c r="C24" s="16"/>
      <c r="D24" s="16" t="s">
        <v>158</v>
      </c>
      <c r="E24" s="16"/>
      <c r="F24" s="16"/>
      <c r="G24" s="16"/>
      <c r="H24" s="16"/>
      <c r="I24" s="27">
        <f>ROUND(SUM(I4:I23),5)</f>
        <v>48086.39</v>
      </c>
      <c r="J24" s="25"/>
      <c r="K24" s="27">
        <f>ROUND(SUM(K4:K23),5)</f>
        <v>347515.29</v>
      </c>
    </row>
    <row r="25" spans="1:11" ht="30" customHeight="1" x14ac:dyDescent="0.25">
      <c r="A25" s="16"/>
      <c r="B25" s="16"/>
      <c r="C25" s="16" t="s">
        <v>159</v>
      </c>
      <c r="D25" s="16"/>
      <c r="E25" s="16"/>
      <c r="F25" s="16"/>
      <c r="G25" s="16"/>
      <c r="H25" s="16"/>
      <c r="I25" s="24">
        <f>I24</f>
        <v>48086.39</v>
      </c>
      <c r="J25" s="25"/>
      <c r="K25" s="24">
        <f>K24</f>
        <v>347515.29</v>
      </c>
    </row>
    <row r="26" spans="1:11" ht="30" customHeight="1" x14ac:dyDescent="0.25">
      <c r="A26" s="16"/>
      <c r="B26" s="16"/>
      <c r="C26" s="16"/>
      <c r="D26" s="16" t="s">
        <v>160</v>
      </c>
      <c r="E26" s="16"/>
      <c r="F26" s="16"/>
      <c r="G26" s="16"/>
      <c r="H26" s="16"/>
      <c r="I26" s="24"/>
      <c r="J26" s="25"/>
      <c r="K26" s="24"/>
    </row>
    <row r="27" spans="1:11" x14ac:dyDescent="0.25">
      <c r="A27" s="16"/>
      <c r="B27" s="16"/>
      <c r="C27" s="16"/>
      <c r="D27" s="16"/>
      <c r="E27" s="16" t="s">
        <v>160</v>
      </c>
      <c r="F27" s="16"/>
      <c r="G27" s="16"/>
      <c r="H27" s="16"/>
      <c r="I27" s="24"/>
      <c r="J27" s="25"/>
      <c r="K27" s="24"/>
    </row>
    <row r="28" spans="1:11" x14ac:dyDescent="0.25">
      <c r="A28" s="16"/>
      <c r="B28" s="16"/>
      <c r="C28" s="16"/>
      <c r="D28" s="16"/>
      <c r="E28" s="16"/>
      <c r="F28" s="16" t="s">
        <v>111</v>
      </c>
      <c r="G28" s="16"/>
      <c r="H28" s="16"/>
      <c r="I28" s="24"/>
      <c r="J28" s="25"/>
      <c r="K28" s="24"/>
    </row>
    <row r="29" spans="1:11" ht="15.75" thickBot="1" x14ac:dyDescent="0.3">
      <c r="A29" s="16"/>
      <c r="B29" s="16"/>
      <c r="C29" s="16"/>
      <c r="D29" s="16"/>
      <c r="E29" s="16"/>
      <c r="F29" s="16"/>
      <c r="G29" s="16" t="s">
        <v>112</v>
      </c>
      <c r="H29" s="16"/>
      <c r="I29" s="28">
        <v>69.75</v>
      </c>
      <c r="J29" s="25"/>
      <c r="K29" s="28">
        <v>364.21</v>
      </c>
    </row>
    <row r="30" spans="1:11" x14ac:dyDescent="0.25">
      <c r="A30" s="16"/>
      <c r="B30" s="16"/>
      <c r="C30" s="16"/>
      <c r="D30" s="16"/>
      <c r="E30" s="16"/>
      <c r="F30" s="16" t="s">
        <v>119</v>
      </c>
      <c r="G30" s="16"/>
      <c r="H30" s="16"/>
      <c r="I30" s="24">
        <f>ROUND(SUM(I28:I29),5)</f>
        <v>69.75</v>
      </c>
      <c r="J30" s="25"/>
      <c r="K30" s="24">
        <f>ROUND(SUM(K28:K29),5)</f>
        <v>364.21</v>
      </c>
    </row>
    <row r="31" spans="1:11" ht="30" customHeight="1" x14ac:dyDescent="0.25">
      <c r="A31" s="16"/>
      <c r="B31" s="16"/>
      <c r="C31" s="16"/>
      <c r="D31" s="16"/>
      <c r="E31" s="16"/>
      <c r="F31" s="16" t="s">
        <v>0</v>
      </c>
      <c r="G31" s="16"/>
      <c r="H31" s="16"/>
      <c r="I31" s="24"/>
      <c r="J31" s="25"/>
      <c r="K31" s="24"/>
    </row>
    <row r="32" spans="1:11" x14ac:dyDescent="0.25">
      <c r="A32" s="16"/>
      <c r="B32" s="16"/>
      <c r="C32" s="16"/>
      <c r="D32" s="16"/>
      <c r="E32" s="16"/>
      <c r="F32" s="16"/>
      <c r="G32" s="16" t="s">
        <v>1</v>
      </c>
      <c r="H32" s="16"/>
      <c r="I32" s="24">
        <v>0</v>
      </c>
      <c r="J32" s="25"/>
      <c r="K32" s="24">
        <v>1084.73</v>
      </c>
    </row>
    <row r="33" spans="1:11" x14ac:dyDescent="0.25">
      <c r="A33" s="16"/>
      <c r="B33" s="16"/>
      <c r="C33" s="16"/>
      <c r="D33" s="16"/>
      <c r="E33" s="16"/>
      <c r="F33" s="16"/>
      <c r="G33" s="16" t="s">
        <v>2</v>
      </c>
      <c r="H33" s="16"/>
      <c r="I33" s="24">
        <v>118.75</v>
      </c>
      <c r="J33" s="25"/>
      <c r="K33" s="24">
        <v>4434.37</v>
      </c>
    </row>
    <row r="34" spans="1:11" x14ac:dyDescent="0.25">
      <c r="A34" s="16"/>
      <c r="B34" s="16"/>
      <c r="C34" s="16"/>
      <c r="D34" s="16"/>
      <c r="E34" s="16"/>
      <c r="F34" s="16"/>
      <c r="G34" s="16" t="s">
        <v>3</v>
      </c>
      <c r="H34" s="16"/>
      <c r="I34" s="24">
        <v>118.52</v>
      </c>
      <c r="J34" s="25"/>
      <c r="K34" s="24">
        <v>1032.83</v>
      </c>
    </row>
    <row r="35" spans="1:11" x14ac:dyDescent="0.25">
      <c r="A35" s="16"/>
      <c r="B35" s="16"/>
      <c r="C35" s="16"/>
      <c r="D35" s="16"/>
      <c r="E35" s="16"/>
      <c r="F35" s="16"/>
      <c r="G35" s="16" t="s">
        <v>5</v>
      </c>
      <c r="H35" s="16"/>
      <c r="I35" s="24">
        <v>677.51</v>
      </c>
      <c r="J35" s="25"/>
      <c r="K35" s="24">
        <v>2086.84</v>
      </c>
    </row>
    <row r="36" spans="1:11" x14ac:dyDescent="0.25">
      <c r="A36" s="16"/>
      <c r="B36" s="16"/>
      <c r="C36" s="16"/>
      <c r="D36" s="16"/>
      <c r="E36" s="16"/>
      <c r="F36" s="16"/>
      <c r="G36" s="16" t="s">
        <v>6</v>
      </c>
      <c r="H36" s="16"/>
      <c r="I36" s="24">
        <v>24</v>
      </c>
      <c r="J36" s="25"/>
      <c r="K36" s="24">
        <v>184.84</v>
      </c>
    </row>
    <row r="37" spans="1:11" x14ac:dyDescent="0.25">
      <c r="A37" s="16"/>
      <c r="B37" s="16"/>
      <c r="C37" s="16"/>
      <c r="D37" s="16"/>
      <c r="E37" s="16"/>
      <c r="F37" s="16"/>
      <c r="G37" s="16" t="s">
        <v>7</v>
      </c>
      <c r="H37" s="16"/>
      <c r="I37" s="24">
        <v>216.04</v>
      </c>
      <c r="J37" s="25"/>
      <c r="K37" s="24">
        <v>1329.24</v>
      </c>
    </row>
    <row r="38" spans="1:11" x14ac:dyDescent="0.25">
      <c r="A38" s="16"/>
      <c r="B38" s="16"/>
      <c r="C38" s="16"/>
      <c r="D38" s="16"/>
      <c r="E38" s="16"/>
      <c r="F38" s="16"/>
      <c r="G38" s="16" t="s">
        <v>8</v>
      </c>
      <c r="H38" s="16"/>
      <c r="I38" s="24">
        <v>41.91</v>
      </c>
      <c r="J38" s="25"/>
      <c r="K38" s="24">
        <v>364.08</v>
      </c>
    </row>
    <row r="39" spans="1:11" x14ac:dyDescent="0.25">
      <c r="A39" s="16"/>
      <c r="B39" s="16"/>
      <c r="C39" s="16"/>
      <c r="D39" s="16"/>
      <c r="E39" s="16"/>
      <c r="F39" s="16"/>
      <c r="G39" s="16" t="s">
        <v>9</v>
      </c>
      <c r="H39" s="16"/>
      <c r="I39" s="24">
        <v>0</v>
      </c>
      <c r="J39" s="25"/>
      <c r="K39" s="24">
        <v>132.22999999999999</v>
      </c>
    </row>
    <row r="40" spans="1:11" x14ac:dyDescent="0.25">
      <c r="A40" s="16"/>
      <c r="B40" s="16"/>
      <c r="C40" s="16"/>
      <c r="D40" s="16"/>
      <c r="E40" s="16"/>
      <c r="F40" s="16"/>
      <c r="G40" s="16" t="s">
        <v>10</v>
      </c>
      <c r="H40" s="16"/>
      <c r="I40" s="24">
        <v>0</v>
      </c>
      <c r="J40" s="25"/>
      <c r="K40" s="24">
        <v>0</v>
      </c>
    </row>
    <row r="41" spans="1:11" x14ac:dyDescent="0.25">
      <c r="A41" s="16"/>
      <c r="B41" s="16"/>
      <c r="C41" s="16"/>
      <c r="D41" s="16"/>
      <c r="E41" s="16"/>
      <c r="F41" s="16"/>
      <c r="G41" s="16" t="s">
        <v>11</v>
      </c>
      <c r="H41" s="16"/>
      <c r="I41" s="24">
        <v>183.18</v>
      </c>
      <c r="J41" s="25"/>
      <c r="K41" s="24">
        <v>1737.14</v>
      </c>
    </row>
    <row r="42" spans="1:11" x14ac:dyDescent="0.25">
      <c r="A42" s="16"/>
      <c r="B42" s="16"/>
      <c r="C42" s="16"/>
      <c r="D42" s="16"/>
      <c r="E42" s="16"/>
      <c r="F42" s="16"/>
      <c r="G42" s="16" t="s">
        <v>12</v>
      </c>
      <c r="H42" s="16"/>
      <c r="I42" s="24">
        <v>2444.5300000000002</v>
      </c>
      <c r="J42" s="25"/>
      <c r="K42" s="24">
        <v>8051.91</v>
      </c>
    </row>
    <row r="43" spans="1:11" x14ac:dyDescent="0.25">
      <c r="A43" s="16"/>
      <c r="B43" s="16"/>
      <c r="C43" s="16"/>
      <c r="D43" s="16"/>
      <c r="E43" s="16"/>
      <c r="F43" s="16"/>
      <c r="G43" s="16" t="s">
        <v>13</v>
      </c>
      <c r="H43" s="16"/>
      <c r="I43" s="24">
        <v>0</v>
      </c>
      <c r="J43" s="25"/>
      <c r="K43" s="24">
        <v>2752.94</v>
      </c>
    </row>
    <row r="44" spans="1:11" x14ac:dyDescent="0.25">
      <c r="A44" s="16"/>
      <c r="B44" s="16"/>
      <c r="C44" s="16"/>
      <c r="D44" s="16"/>
      <c r="E44" s="16"/>
      <c r="F44" s="16"/>
      <c r="G44" s="16" t="s">
        <v>17</v>
      </c>
      <c r="H44" s="16"/>
      <c r="I44" s="24">
        <v>505</v>
      </c>
      <c r="J44" s="25"/>
      <c r="K44" s="24">
        <v>1906.38</v>
      </c>
    </row>
    <row r="45" spans="1:11" x14ac:dyDescent="0.25">
      <c r="A45" s="16"/>
      <c r="B45" s="16"/>
      <c r="C45" s="16"/>
      <c r="D45" s="16"/>
      <c r="E45" s="16"/>
      <c r="F45" s="16"/>
      <c r="G45" s="16" t="s">
        <v>19</v>
      </c>
      <c r="H45" s="16"/>
      <c r="I45" s="24">
        <v>262.63</v>
      </c>
      <c r="J45" s="25"/>
      <c r="K45" s="24">
        <v>1265.6400000000001</v>
      </c>
    </row>
    <row r="46" spans="1:11" ht="15.75" thickBot="1" x14ac:dyDescent="0.3">
      <c r="A46" s="16"/>
      <c r="B46" s="16"/>
      <c r="C46" s="16"/>
      <c r="D46" s="16"/>
      <c r="E46" s="16"/>
      <c r="F46" s="16"/>
      <c r="G46" s="16" t="s">
        <v>21</v>
      </c>
      <c r="H46" s="16"/>
      <c r="I46" s="28">
        <v>93.34</v>
      </c>
      <c r="J46" s="25"/>
      <c r="K46" s="28">
        <v>539.70000000000005</v>
      </c>
    </row>
    <row r="47" spans="1:11" x14ac:dyDescent="0.25">
      <c r="A47" s="16"/>
      <c r="B47" s="16"/>
      <c r="C47" s="16"/>
      <c r="D47" s="16"/>
      <c r="E47" s="16"/>
      <c r="F47" s="16" t="s">
        <v>23</v>
      </c>
      <c r="G47" s="16"/>
      <c r="H47" s="16"/>
      <c r="I47" s="24">
        <f>ROUND(SUM(I31:I46),5)</f>
        <v>4685.41</v>
      </c>
      <c r="J47" s="25"/>
      <c r="K47" s="24">
        <f>ROUND(SUM(K31:K46),5)</f>
        <v>26902.87</v>
      </c>
    </row>
    <row r="48" spans="1:11" ht="30" customHeight="1" x14ac:dyDescent="0.25">
      <c r="A48" s="16"/>
      <c r="B48" s="16"/>
      <c r="C48" s="16"/>
      <c r="D48" s="16"/>
      <c r="E48" s="16"/>
      <c r="F48" s="16" t="s">
        <v>161</v>
      </c>
      <c r="G48" s="16"/>
      <c r="H48" s="16"/>
      <c r="I48" s="24"/>
      <c r="J48" s="25"/>
      <c r="K48" s="24"/>
    </row>
    <row r="49" spans="1:11" x14ac:dyDescent="0.25">
      <c r="A49" s="16"/>
      <c r="B49" s="16"/>
      <c r="C49" s="16"/>
      <c r="D49" s="16"/>
      <c r="E49" s="16"/>
      <c r="F49" s="16"/>
      <c r="G49" s="16" t="s">
        <v>40</v>
      </c>
      <c r="H49" s="16"/>
      <c r="I49" s="24"/>
      <c r="J49" s="25"/>
      <c r="K49" s="24"/>
    </row>
    <row r="50" spans="1:11" x14ac:dyDescent="0.25">
      <c r="A50" s="16"/>
      <c r="B50" s="16"/>
      <c r="C50" s="16"/>
      <c r="D50" s="16"/>
      <c r="E50" s="16"/>
      <c r="F50" s="16"/>
      <c r="G50" s="16"/>
      <c r="H50" s="16" t="s">
        <v>43</v>
      </c>
      <c r="I50" s="24">
        <v>113.5</v>
      </c>
      <c r="J50" s="25"/>
      <c r="K50" s="24">
        <v>1228.54</v>
      </c>
    </row>
    <row r="51" spans="1:11" x14ac:dyDescent="0.25">
      <c r="A51" s="16"/>
      <c r="B51" s="16"/>
      <c r="C51" s="16"/>
      <c r="D51" s="16"/>
      <c r="E51" s="16"/>
      <c r="F51" s="16"/>
      <c r="G51" s="16"/>
      <c r="H51" s="16" t="s">
        <v>45</v>
      </c>
      <c r="I51" s="24">
        <v>183.51</v>
      </c>
      <c r="J51" s="25"/>
      <c r="K51" s="24">
        <v>873</v>
      </c>
    </row>
    <row r="52" spans="1:11" x14ac:dyDescent="0.25">
      <c r="A52" s="16"/>
      <c r="B52" s="16"/>
      <c r="C52" s="16"/>
      <c r="D52" s="16"/>
      <c r="E52" s="16"/>
      <c r="F52" s="16"/>
      <c r="G52" s="16"/>
      <c r="H52" s="16" t="s">
        <v>46</v>
      </c>
      <c r="I52" s="24">
        <v>50.98</v>
      </c>
      <c r="J52" s="25"/>
      <c r="K52" s="24">
        <v>83.82</v>
      </c>
    </row>
    <row r="53" spans="1:11" x14ac:dyDescent="0.25">
      <c r="A53" s="16"/>
      <c r="B53" s="16"/>
      <c r="C53" s="16"/>
      <c r="D53" s="16"/>
      <c r="E53" s="16"/>
      <c r="F53" s="16"/>
      <c r="G53" s="16"/>
      <c r="H53" s="16" t="s">
        <v>47</v>
      </c>
      <c r="I53" s="24">
        <v>41.91</v>
      </c>
      <c r="J53" s="25"/>
      <c r="K53" s="24">
        <v>284.98</v>
      </c>
    </row>
    <row r="54" spans="1:11" ht="15.75" thickBot="1" x14ac:dyDescent="0.3">
      <c r="A54" s="16"/>
      <c r="B54" s="16"/>
      <c r="C54" s="16"/>
      <c r="D54" s="16"/>
      <c r="E54" s="16"/>
      <c r="F54" s="16"/>
      <c r="G54" s="16"/>
      <c r="H54" s="16" t="s">
        <v>48</v>
      </c>
      <c r="I54" s="28">
        <v>7.75</v>
      </c>
      <c r="J54" s="25"/>
      <c r="K54" s="28">
        <v>7.75</v>
      </c>
    </row>
    <row r="55" spans="1:11" x14ac:dyDescent="0.25">
      <c r="A55" s="16"/>
      <c r="B55" s="16"/>
      <c r="C55" s="16"/>
      <c r="D55" s="16"/>
      <c r="E55" s="16"/>
      <c r="F55" s="16"/>
      <c r="G55" s="16" t="s">
        <v>51</v>
      </c>
      <c r="H55" s="16"/>
      <c r="I55" s="24">
        <f>ROUND(SUM(I49:I54),5)</f>
        <v>397.65</v>
      </c>
      <c r="J55" s="25"/>
      <c r="K55" s="24">
        <f>ROUND(SUM(K49:K54),5)</f>
        <v>2478.09</v>
      </c>
    </row>
    <row r="56" spans="1:11" ht="30" customHeight="1" x14ac:dyDescent="0.25">
      <c r="A56" s="16"/>
      <c r="B56" s="16"/>
      <c r="C56" s="16"/>
      <c r="D56" s="16"/>
      <c r="E56" s="16"/>
      <c r="F56" s="16"/>
      <c r="G56" s="16" t="s">
        <v>32</v>
      </c>
      <c r="H56" s="16"/>
      <c r="I56" s="24"/>
      <c r="J56" s="25"/>
      <c r="K56" s="24"/>
    </row>
    <row r="57" spans="1:11" x14ac:dyDescent="0.25">
      <c r="A57" s="16"/>
      <c r="B57" s="16"/>
      <c r="C57" s="16"/>
      <c r="D57" s="16"/>
      <c r="E57" s="16"/>
      <c r="F57" s="16"/>
      <c r="G57" s="16"/>
      <c r="H57" s="16" t="s">
        <v>35</v>
      </c>
      <c r="I57" s="24">
        <v>65.39</v>
      </c>
      <c r="J57" s="25"/>
      <c r="K57" s="24">
        <v>436.48</v>
      </c>
    </row>
    <row r="58" spans="1:11" x14ac:dyDescent="0.25">
      <c r="A58" s="16"/>
      <c r="B58" s="16"/>
      <c r="C58" s="16"/>
      <c r="D58" s="16"/>
      <c r="E58" s="16"/>
      <c r="F58" s="16"/>
      <c r="G58" s="16"/>
      <c r="H58" s="16" t="s">
        <v>36</v>
      </c>
      <c r="I58" s="24">
        <v>50.9</v>
      </c>
      <c r="J58" s="25"/>
      <c r="K58" s="24">
        <v>130.75</v>
      </c>
    </row>
    <row r="59" spans="1:11" ht="15.75" thickBot="1" x14ac:dyDescent="0.3">
      <c r="A59" s="16"/>
      <c r="B59" s="16"/>
      <c r="C59" s="16"/>
      <c r="D59" s="16"/>
      <c r="E59" s="16"/>
      <c r="F59" s="16"/>
      <c r="G59" s="16"/>
      <c r="H59" s="16" t="s">
        <v>38</v>
      </c>
      <c r="I59" s="26">
        <v>0</v>
      </c>
      <c r="J59" s="25"/>
      <c r="K59" s="26">
        <v>232.29</v>
      </c>
    </row>
    <row r="60" spans="1:11" ht="15.75" thickBot="1" x14ac:dyDescent="0.3">
      <c r="A60" s="16"/>
      <c r="B60" s="16"/>
      <c r="C60" s="16"/>
      <c r="D60" s="16"/>
      <c r="E60" s="16"/>
      <c r="F60" s="16"/>
      <c r="G60" s="16" t="s">
        <v>39</v>
      </c>
      <c r="H60" s="16"/>
      <c r="I60" s="27">
        <f>ROUND(SUM(I56:I59),5)</f>
        <v>116.29</v>
      </c>
      <c r="J60" s="25"/>
      <c r="K60" s="27">
        <f>ROUND(SUM(K56:K59),5)</f>
        <v>799.52</v>
      </c>
    </row>
    <row r="61" spans="1:11" ht="30" customHeight="1" x14ac:dyDescent="0.25">
      <c r="A61" s="16"/>
      <c r="B61" s="16"/>
      <c r="C61" s="16"/>
      <c r="D61" s="16"/>
      <c r="E61" s="16"/>
      <c r="F61" s="16" t="s">
        <v>162</v>
      </c>
      <c r="G61" s="16"/>
      <c r="H61" s="16"/>
      <c r="I61" s="24">
        <f>ROUND(I48+I55+I60,5)</f>
        <v>513.94000000000005</v>
      </c>
      <c r="J61" s="25"/>
      <c r="K61" s="24">
        <f>ROUND(K48+K55+K60,5)</f>
        <v>3277.61</v>
      </c>
    </row>
    <row r="62" spans="1:11" ht="30" customHeight="1" x14ac:dyDescent="0.25">
      <c r="A62" s="16"/>
      <c r="B62" s="16"/>
      <c r="C62" s="16"/>
      <c r="D62" s="16"/>
      <c r="E62" s="16"/>
      <c r="F62" s="16" t="s">
        <v>52</v>
      </c>
      <c r="G62" s="16"/>
      <c r="H62" s="16"/>
      <c r="I62" s="24"/>
      <c r="J62" s="25"/>
      <c r="K62" s="24"/>
    </row>
    <row r="63" spans="1:11" x14ac:dyDescent="0.25">
      <c r="A63" s="16"/>
      <c r="B63" s="16"/>
      <c r="C63" s="16"/>
      <c r="D63" s="16"/>
      <c r="E63" s="16"/>
      <c r="F63" s="16"/>
      <c r="G63" s="16" t="s">
        <v>53</v>
      </c>
      <c r="H63" s="16"/>
      <c r="I63" s="24">
        <v>0</v>
      </c>
      <c r="J63" s="25"/>
      <c r="K63" s="24">
        <v>1627.91</v>
      </c>
    </row>
    <row r="64" spans="1:11" x14ac:dyDescent="0.25">
      <c r="A64" s="16"/>
      <c r="B64" s="16"/>
      <c r="C64" s="16"/>
      <c r="D64" s="16"/>
      <c r="E64" s="16"/>
      <c r="F64" s="16"/>
      <c r="G64" s="16" t="s">
        <v>54</v>
      </c>
      <c r="H64" s="16"/>
      <c r="I64" s="24">
        <v>0</v>
      </c>
      <c r="J64" s="25"/>
      <c r="K64" s="24">
        <v>1005</v>
      </c>
    </row>
    <row r="65" spans="1:11" x14ac:dyDescent="0.25">
      <c r="A65" s="16"/>
      <c r="B65" s="16"/>
      <c r="C65" s="16"/>
      <c r="D65" s="16"/>
      <c r="E65" s="16"/>
      <c r="F65" s="16"/>
      <c r="G65" s="16" t="s">
        <v>55</v>
      </c>
      <c r="H65" s="16"/>
      <c r="I65" s="24">
        <v>1612</v>
      </c>
      <c r="J65" s="25"/>
      <c r="K65" s="24">
        <v>4617.6099999999997</v>
      </c>
    </row>
    <row r="66" spans="1:11" x14ac:dyDescent="0.25">
      <c r="A66" s="16"/>
      <c r="B66" s="16"/>
      <c r="C66" s="16"/>
      <c r="D66" s="16"/>
      <c r="E66" s="16"/>
      <c r="F66" s="16"/>
      <c r="G66" s="16" t="s">
        <v>56</v>
      </c>
      <c r="H66" s="16"/>
      <c r="I66" s="24">
        <v>0</v>
      </c>
      <c r="J66" s="25"/>
      <c r="K66" s="24">
        <v>1538.41</v>
      </c>
    </row>
    <row r="67" spans="1:11" x14ac:dyDescent="0.25">
      <c r="A67" s="16"/>
      <c r="B67" s="16"/>
      <c r="C67" s="16"/>
      <c r="D67" s="16"/>
      <c r="E67" s="16"/>
      <c r="F67" s="16"/>
      <c r="G67" s="16" t="s">
        <v>57</v>
      </c>
      <c r="H67" s="16"/>
      <c r="I67" s="24">
        <v>0</v>
      </c>
      <c r="J67" s="25"/>
      <c r="K67" s="24">
        <v>1275.8</v>
      </c>
    </row>
    <row r="68" spans="1:11" x14ac:dyDescent="0.25">
      <c r="A68" s="16"/>
      <c r="B68" s="16"/>
      <c r="C68" s="16"/>
      <c r="D68" s="16"/>
      <c r="E68" s="16"/>
      <c r="F68" s="16"/>
      <c r="G68" s="16" t="s">
        <v>58</v>
      </c>
      <c r="H68" s="16"/>
      <c r="I68" s="24">
        <v>0</v>
      </c>
      <c r="J68" s="25"/>
      <c r="K68" s="24">
        <v>1351.02</v>
      </c>
    </row>
    <row r="69" spans="1:11" x14ac:dyDescent="0.25">
      <c r="A69" s="16"/>
      <c r="B69" s="16"/>
      <c r="C69" s="16"/>
      <c r="D69" s="16"/>
      <c r="E69" s="16"/>
      <c r="F69" s="16"/>
      <c r="G69" s="16" t="s">
        <v>59</v>
      </c>
      <c r="H69" s="16"/>
      <c r="I69" s="24">
        <v>207.95</v>
      </c>
      <c r="J69" s="25"/>
      <c r="K69" s="24">
        <v>1647.99</v>
      </c>
    </row>
    <row r="70" spans="1:11" x14ac:dyDescent="0.25">
      <c r="A70" s="16"/>
      <c r="B70" s="16"/>
      <c r="C70" s="16"/>
      <c r="D70" s="16"/>
      <c r="E70" s="16"/>
      <c r="F70" s="16"/>
      <c r="G70" s="16" t="s">
        <v>163</v>
      </c>
      <c r="H70" s="16"/>
      <c r="I70" s="24">
        <v>57.65</v>
      </c>
      <c r="J70" s="25"/>
      <c r="K70" s="24">
        <v>480.8</v>
      </c>
    </row>
    <row r="71" spans="1:11" x14ac:dyDescent="0.25">
      <c r="A71" s="16"/>
      <c r="B71" s="16"/>
      <c r="C71" s="16"/>
      <c r="D71" s="16"/>
      <c r="E71" s="16"/>
      <c r="F71" s="16"/>
      <c r="G71" s="16" t="s">
        <v>62</v>
      </c>
      <c r="H71" s="16"/>
      <c r="I71" s="24">
        <v>757.6</v>
      </c>
      <c r="J71" s="25"/>
      <c r="K71" s="24">
        <v>5281.2</v>
      </c>
    </row>
    <row r="72" spans="1:11" x14ac:dyDescent="0.25">
      <c r="A72" s="16"/>
      <c r="B72" s="16"/>
      <c r="C72" s="16"/>
      <c r="D72" s="16"/>
      <c r="E72" s="16"/>
      <c r="F72" s="16"/>
      <c r="G72" s="16" t="s">
        <v>63</v>
      </c>
      <c r="H72" s="16"/>
      <c r="I72" s="24">
        <v>0</v>
      </c>
      <c r="J72" s="25"/>
      <c r="K72" s="24">
        <v>1036.5999999999999</v>
      </c>
    </row>
    <row r="73" spans="1:11" x14ac:dyDescent="0.25">
      <c r="A73" s="16"/>
      <c r="B73" s="16"/>
      <c r="C73" s="16"/>
      <c r="D73" s="16"/>
      <c r="E73" s="16"/>
      <c r="F73" s="16"/>
      <c r="G73" s="16" t="s">
        <v>64</v>
      </c>
      <c r="H73" s="16"/>
      <c r="I73" s="24">
        <v>346.71</v>
      </c>
      <c r="J73" s="25"/>
      <c r="K73" s="24">
        <v>4014.32</v>
      </c>
    </row>
    <row r="74" spans="1:11" x14ac:dyDescent="0.25">
      <c r="A74" s="16"/>
      <c r="B74" s="16"/>
      <c r="C74" s="16"/>
      <c r="D74" s="16"/>
      <c r="E74" s="16"/>
      <c r="F74" s="16"/>
      <c r="G74" s="16" t="s">
        <v>65</v>
      </c>
      <c r="H74" s="16"/>
      <c r="I74" s="24">
        <v>0</v>
      </c>
      <c r="J74" s="25"/>
      <c r="K74" s="24">
        <v>21.48</v>
      </c>
    </row>
    <row r="75" spans="1:11" x14ac:dyDescent="0.25">
      <c r="A75" s="16"/>
      <c r="B75" s="16"/>
      <c r="C75" s="16"/>
      <c r="D75" s="16"/>
      <c r="E75" s="16"/>
      <c r="F75" s="16"/>
      <c r="G75" s="16" t="s">
        <v>68</v>
      </c>
      <c r="H75" s="16"/>
      <c r="I75" s="24">
        <v>0</v>
      </c>
      <c r="J75" s="25"/>
      <c r="K75" s="24">
        <v>678.75</v>
      </c>
    </row>
    <row r="76" spans="1:11" x14ac:dyDescent="0.25">
      <c r="A76" s="16"/>
      <c r="B76" s="16"/>
      <c r="C76" s="16"/>
      <c r="D76" s="16"/>
      <c r="E76" s="16"/>
      <c r="F76" s="16"/>
      <c r="G76" s="16" t="s">
        <v>69</v>
      </c>
      <c r="H76" s="16"/>
      <c r="I76" s="24">
        <v>0</v>
      </c>
      <c r="J76" s="25"/>
      <c r="K76" s="24">
        <v>864.98</v>
      </c>
    </row>
    <row r="77" spans="1:11" x14ac:dyDescent="0.25">
      <c r="A77" s="16"/>
      <c r="B77" s="16"/>
      <c r="C77" s="16"/>
      <c r="D77" s="16"/>
      <c r="E77" s="16"/>
      <c r="F77" s="16"/>
      <c r="G77" s="16" t="s">
        <v>70</v>
      </c>
      <c r="H77" s="16"/>
      <c r="I77" s="24">
        <v>0</v>
      </c>
      <c r="J77" s="25"/>
      <c r="K77" s="24">
        <v>90</v>
      </c>
    </row>
    <row r="78" spans="1:11" x14ac:dyDescent="0.25">
      <c r="A78" s="16"/>
      <c r="B78" s="16"/>
      <c r="C78" s="16"/>
      <c r="D78" s="16"/>
      <c r="E78" s="16"/>
      <c r="F78" s="16"/>
      <c r="G78" s="16" t="s">
        <v>71</v>
      </c>
      <c r="H78" s="16"/>
      <c r="I78" s="24">
        <v>30</v>
      </c>
      <c r="J78" s="25"/>
      <c r="K78" s="24">
        <v>430</v>
      </c>
    </row>
    <row r="79" spans="1:11" x14ac:dyDescent="0.25">
      <c r="A79" s="16"/>
      <c r="B79" s="16"/>
      <c r="C79" s="16"/>
      <c r="D79" s="16"/>
      <c r="E79" s="16"/>
      <c r="F79" s="16"/>
      <c r="G79" s="16" t="s">
        <v>73</v>
      </c>
      <c r="H79" s="16"/>
      <c r="I79" s="24">
        <v>425</v>
      </c>
      <c r="J79" s="25"/>
      <c r="K79" s="24">
        <v>966</v>
      </c>
    </row>
    <row r="80" spans="1:11" x14ac:dyDescent="0.25">
      <c r="A80" s="16"/>
      <c r="B80" s="16"/>
      <c r="C80" s="16"/>
      <c r="D80" s="16"/>
      <c r="E80" s="16"/>
      <c r="F80" s="16"/>
      <c r="G80" s="16" t="s">
        <v>74</v>
      </c>
      <c r="H80" s="16"/>
      <c r="I80" s="24">
        <v>0</v>
      </c>
      <c r="J80" s="25"/>
      <c r="K80" s="24">
        <v>500</v>
      </c>
    </row>
    <row r="81" spans="1:11" x14ac:dyDescent="0.25">
      <c r="A81" s="16"/>
      <c r="B81" s="16"/>
      <c r="C81" s="16"/>
      <c r="D81" s="16"/>
      <c r="E81" s="16"/>
      <c r="F81" s="16"/>
      <c r="G81" s="16" t="s">
        <v>78</v>
      </c>
      <c r="H81" s="16"/>
      <c r="I81" s="24">
        <v>982.69</v>
      </c>
      <c r="J81" s="25"/>
      <c r="K81" s="24">
        <v>10254.35</v>
      </c>
    </row>
    <row r="82" spans="1:11" x14ac:dyDescent="0.25">
      <c r="A82" s="16"/>
      <c r="B82" s="16"/>
      <c r="C82" s="16"/>
      <c r="D82" s="16"/>
      <c r="E82" s="16"/>
      <c r="F82" s="16"/>
      <c r="G82" s="16" t="s">
        <v>80</v>
      </c>
      <c r="H82" s="16"/>
      <c r="I82" s="24">
        <v>805</v>
      </c>
      <c r="J82" s="25"/>
      <c r="K82" s="24">
        <v>15346</v>
      </c>
    </row>
    <row r="83" spans="1:11" ht="15.75" thickBot="1" x14ac:dyDescent="0.3">
      <c r="A83" s="16"/>
      <c r="B83" s="16"/>
      <c r="C83" s="16"/>
      <c r="D83" s="16"/>
      <c r="E83" s="16"/>
      <c r="F83" s="16"/>
      <c r="G83" s="16" t="s">
        <v>81</v>
      </c>
      <c r="H83" s="16"/>
      <c r="I83" s="28">
        <v>0</v>
      </c>
      <c r="J83" s="25"/>
      <c r="K83" s="28">
        <v>1250</v>
      </c>
    </row>
    <row r="84" spans="1:11" x14ac:dyDescent="0.25">
      <c r="A84" s="16"/>
      <c r="B84" s="16"/>
      <c r="C84" s="16"/>
      <c r="D84" s="16"/>
      <c r="E84" s="16"/>
      <c r="F84" s="16" t="s">
        <v>83</v>
      </c>
      <c r="G84" s="16"/>
      <c r="H84" s="16"/>
      <c r="I84" s="24">
        <f>ROUND(SUM(I62:I83),5)</f>
        <v>5224.6000000000004</v>
      </c>
      <c r="J84" s="25"/>
      <c r="K84" s="24">
        <f>ROUND(SUM(K62:K83),5)</f>
        <v>54278.22</v>
      </c>
    </row>
    <row r="85" spans="1:11" ht="30" customHeight="1" x14ac:dyDescent="0.25">
      <c r="A85" s="16"/>
      <c r="B85" s="16"/>
      <c r="C85" s="16"/>
      <c r="D85" s="16"/>
      <c r="E85" s="16"/>
      <c r="F85" s="16" t="s">
        <v>84</v>
      </c>
      <c r="G85" s="16"/>
      <c r="H85" s="16"/>
      <c r="I85" s="24"/>
      <c r="J85" s="25"/>
      <c r="K85" s="24"/>
    </row>
    <row r="86" spans="1:11" x14ac:dyDescent="0.25">
      <c r="A86" s="16"/>
      <c r="B86" s="16"/>
      <c r="C86" s="16"/>
      <c r="D86" s="16"/>
      <c r="E86" s="16"/>
      <c r="F86" s="16"/>
      <c r="G86" s="16" t="s">
        <v>86</v>
      </c>
      <c r="H86" s="16"/>
      <c r="I86" s="24">
        <v>77.5</v>
      </c>
      <c r="J86" s="25"/>
      <c r="K86" s="24">
        <v>3905.01</v>
      </c>
    </row>
    <row r="87" spans="1:11" x14ac:dyDescent="0.25">
      <c r="A87" s="16"/>
      <c r="B87" s="16"/>
      <c r="C87" s="16"/>
      <c r="D87" s="16"/>
      <c r="E87" s="16"/>
      <c r="F87" s="16"/>
      <c r="G87" s="16" t="s">
        <v>89</v>
      </c>
      <c r="H87" s="16"/>
      <c r="I87" s="24">
        <v>69.75</v>
      </c>
      <c r="J87" s="25"/>
      <c r="K87" s="24">
        <v>5303.09</v>
      </c>
    </row>
    <row r="88" spans="1:11" x14ac:dyDescent="0.25">
      <c r="A88" s="16"/>
      <c r="B88" s="16"/>
      <c r="C88" s="16"/>
      <c r="D88" s="16"/>
      <c r="E88" s="16"/>
      <c r="F88" s="16"/>
      <c r="G88" s="16" t="s">
        <v>91</v>
      </c>
      <c r="H88" s="16"/>
      <c r="I88" s="24">
        <v>0</v>
      </c>
      <c r="J88" s="25"/>
      <c r="K88" s="24">
        <v>1922.5</v>
      </c>
    </row>
    <row r="89" spans="1:11" x14ac:dyDescent="0.25">
      <c r="A89" s="16"/>
      <c r="B89" s="16"/>
      <c r="C89" s="16"/>
      <c r="D89" s="16"/>
      <c r="E89" s="16"/>
      <c r="F89" s="16"/>
      <c r="G89" s="16" t="s">
        <v>93</v>
      </c>
      <c r="H89" s="16"/>
      <c r="I89" s="24">
        <v>0</v>
      </c>
      <c r="J89" s="25"/>
      <c r="K89" s="24">
        <v>158</v>
      </c>
    </row>
    <row r="90" spans="1:11" x14ac:dyDescent="0.25">
      <c r="A90" s="16"/>
      <c r="B90" s="16"/>
      <c r="C90" s="16"/>
      <c r="D90" s="16"/>
      <c r="E90" s="16"/>
      <c r="F90" s="16"/>
      <c r="G90" s="16" t="s">
        <v>95</v>
      </c>
      <c r="H90" s="16"/>
      <c r="I90" s="24">
        <v>137.94999999999999</v>
      </c>
      <c r="J90" s="25"/>
      <c r="K90" s="24">
        <v>751.38</v>
      </c>
    </row>
    <row r="91" spans="1:11" x14ac:dyDescent="0.25">
      <c r="A91" s="16"/>
      <c r="B91" s="16"/>
      <c r="C91" s="16"/>
      <c r="D91" s="16"/>
      <c r="E91" s="16"/>
      <c r="F91" s="16"/>
      <c r="G91" s="16" t="s">
        <v>96</v>
      </c>
      <c r="H91" s="16"/>
      <c r="I91" s="24">
        <v>25.45</v>
      </c>
      <c r="J91" s="25"/>
      <c r="K91" s="24">
        <v>216.78</v>
      </c>
    </row>
    <row r="92" spans="1:11" x14ac:dyDescent="0.25">
      <c r="A92" s="16"/>
      <c r="B92" s="16"/>
      <c r="C92" s="16"/>
      <c r="D92" s="16"/>
      <c r="E92" s="16"/>
      <c r="F92" s="16"/>
      <c r="G92" s="16" t="s">
        <v>98</v>
      </c>
      <c r="H92" s="16"/>
      <c r="I92" s="24">
        <v>0</v>
      </c>
      <c r="J92" s="25"/>
      <c r="K92" s="24">
        <v>3575.01</v>
      </c>
    </row>
    <row r="93" spans="1:11" x14ac:dyDescent="0.25">
      <c r="A93" s="16"/>
      <c r="B93" s="16"/>
      <c r="C93" s="16"/>
      <c r="D93" s="16"/>
      <c r="E93" s="16"/>
      <c r="F93" s="16"/>
      <c r="G93" s="16" t="s">
        <v>99</v>
      </c>
      <c r="H93" s="16"/>
      <c r="I93" s="24">
        <v>237.9</v>
      </c>
      <c r="J93" s="25"/>
      <c r="K93" s="24">
        <v>2410.67</v>
      </c>
    </row>
    <row r="94" spans="1:11" x14ac:dyDescent="0.25">
      <c r="A94" s="16"/>
      <c r="B94" s="16"/>
      <c r="C94" s="16"/>
      <c r="D94" s="16"/>
      <c r="E94" s="16"/>
      <c r="F94" s="16"/>
      <c r="G94" s="16" t="s">
        <v>101</v>
      </c>
      <c r="H94" s="16"/>
      <c r="I94" s="24">
        <v>0</v>
      </c>
      <c r="J94" s="25"/>
      <c r="K94" s="24">
        <v>905.21</v>
      </c>
    </row>
    <row r="95" spans="1:11" ht="15.75" thickBot="1" x14ac:dyDescent="0.3">
      <c r="A95" s="16"/>
      <c r="B95" s="16"/>
      <c r="C95" s="16"/>
      <c r="D95" s="16"/>
      <c r="E95" s="16"/>
      <c r="F95" s="16"/>
      <c r="G95" s="16" t="s">
        <v>103</v>
      </c>
      <c r="H95" s="16"/>
      <c r="I95" s="26">
        <v>0</v>
      </c>
      <c r="J95" s="25"/>
      <c r="K95" s="26">
        <v>2335.9499999999998</v>
      </c>
    </row>
    <row r="96" spans="1:11" ht="15.75" thickBot="1" x14ac:dyDescent="0.3">
      <c r="A96" s="16"/>
      <c r="B96" s="16"/>
      <c r="C96" s="16"/>
      <c r="D96" s="16"/>
      <c r="E96" s="16"/>
      <c r="F96" s="16" t="s">
        <v>106</v>
      </c>
      <c r="G96" s="16"/>
      <c r="H96" s="16"/>
      <c r="I96" s="27">
        <f>ROUND(SUM(I85:I95),5)</f>
        <v>548.54999999999995</v>
      </c>
      <c r="J96" s="25"/>
      <c r="K96" s="27">
        <f>ROUND(SUM(K85:K95),5)</f>
        <v>21483.599999999999</v>
      </c>
    </row>
    <row r="97" spans="1:11" ht="30" customHeight="1" x14ac:dyDescent="0.25">
      <c r="A97" s="16"/>
      <c r="B97" s="16"/>
      <c r="C97" s="16"/>
      <c r="D97" s="16"/>
      <c r="E97" s="16" t="s">
        <v>164</v>
      </c>
      <c r="F97" s="16"/>
      <c r="G97" s="16"/>
      <c r="H97" s="16"/>
      <c r="I97" s="24">
        <f>ROUND(I27+I30+I47+I61+I84+I96,5)</f>
        <v>11042.25</v>
      </c>
      <c r="J97" s="25"/>
      <c r="K97" s="24">
        <f>ROUND(K27+K30+K47+K61+K84+K96,5)</f>
        <v>106306.51</v>
      </c>
    </row>
    <row r="98" spans="1:11" ht="30" customHeight="1" x14ac:dyDescent="0.25">
      <c r="A98" s="16"/>
      <c r="B98" s="16"/>
      <c r="C98" s="16"/>
      <c r="D98" s="16"/>
      <c r="E98" s="16" t="s">
        <v>128</v>
      </c>
      <c r="F98" s="16"/>
      <c r="G98" s="16"/>
      <c r="H98" s="16"/>
      <c r="I98" s="24"/>
      <c r="J98" s="25"/>
      <c r="K98" s="24"/>
    </row>
    <row r="99" spans="1:11" x14ac:dyDescent="0.25">
      <c r="A99" s="16"/>
      <c r="B99" s="16"/>
      <c r="C99" s="16"/>
      <c r="D99" s="16"/>
      <c r="E99" s="16"/>
      <c r="F99" s="16" t="s">
        <v>123</v>
      </c>
      <c r="G99" s="16"/>
      <c r="H99" s="16"/>
      <c r="I99" s="24">
        <v>2827.05</v>
      </c>
      <c r="J99" s="25"/>
      <c r="K99" s="24">
        <v>3102.15</v>
      </c>
    </row>
    <row r="100" spans="1:11" x14ac:dyDescent="0.25">
      <c r="A100" s="16"/>
      <c r="B100" s="16"/>
      <c r="C100" s="16"/>
      <c r="D100" s="16"/>
      <c r="E100" s="16"/>
      <c r="F100" s="16" t="s">
        <v>124</v>
      </c>
      <c r="G100" s="16"/>
      <c r="H100" s="16"/>
      <c r="I100" s="24">
        <v>62.5</v>
      </c>
      <c r="J100" s="25"/>
      <c r="K100" s="24">
        <v>290</v>
      </c>
    </row>
    <row r="101" spans="1:11" x14ac:dyDescent="0.25">
      <c r="A101" s="16"/>
      <c r="B101" s="16"/>
      <c r="C101" s="16"/>
      <c r="D101" s="16"/>
      <c r="E101" s="16"/>
      <c r="F101" s="16" t="s">
        <v>125</v>
      </c>
      <c r="G101" s="16"/>
      <c r="H101" s="16"/>
      <c r="I101" s="24">
        <v>0</v>
      </c>
      <c r="J101" s="25"/>
      <c r="K101" s="24">
        <v>165.72</v>
      </c>
    </row>
    <row r="102" spans="1:11" x14ac:dyDescent="0.25">
      <c r="A102" s="16"/>
      <c r="B102" s="16"/>
      <c r="C102" s="16"/>
      <c r="D102" s="16"/>
      <c r="E102" s="16"/>
      <c r="F102" s="16" t="s">
        <v>126</v>
      </c>
      <c r="G102" s="16"/>
      <c r="H102" s="16"/>
      <c r="I102" s="24">
        <v>3145.86</v>
      </c>
      <c r="J102" s="25"/>
      <c r="K102" s="24">
        <v>25166.76</v>
      </c>
    </row>
    <row r="103" spans="1:11" ht="15.75" thickBot="1" x14ac:dyDescent="0.3">
      <c r="A103" s="16"/>
      <c r="B103" s="16"/>
      <c r="C103" s="16"/>
      <c r="D103" s="16"/>
      <c r="E103" s="16"/>
      <c r="F103" s="16" t="s">
        <v>127</v>
      </c>
      <c r="G103" s="16"/>
      <c r="H103" s="16"/>
      <c r="I103" s="28">
        <v>-2975.58</v>
      </c>
      <c r="J103" s="25"/>
      <c r="K103" s="28">
        <v>25265.32</v>
      </c>
    </row>
    <row r="104" spans="1:11" x14ac:dyDescent="0.25">
      <c r="A104" s="16"/>
      <c r="B104" s="16"/>
      <c r="C104" s="16"/>
      <c r="D104" s="16"/>
      <c r="E104" s="16" t="s">
        <v>165</v>
      </c>
      <c r="F104" s="16"/>
      <c r="G104" s="16"/>
      <c r="H104" s="16"/>
      <c r="I104" s="24">
        <f>ROUND(SUM(I98:I103),5)</f>
        <v>3059.83</v>
      </c>
      <c r="J104" s="25"/>
      <c r="K104" s="24">
        <f>ROUND(SUM(K98:K103),5)</f>
        <v>53989.95</v>
      </c>
    </row>
    <row r="105" spans="1:11" ht="30" customHeight="1" x14ac:dyDescent="0.25">
      <c r="A105" s="16"/>
      <c r="B105" s="16"/>
      <c r="C105" s="16"/>
      <c r="D105" s="16"/>
      <c r="E105" s="16" t="s">
        <v>107</v>
      </c>
      <c r="F105" s="16"/>
      <c r="G105" s="16"/>
      <c r="H105" s="16"/>
      <c r="I105" s="24"/>
      <c r="J105" s="25"/>
      <c r="K105" s="24"/>
    </row>
    <row r="106" spans="1:11" ht="15.75" thickBot="1" x14ac:dyDescent="0.3">
      <c r="A106" s="16"/>
      <c r="B106" s="16"/>
      <c r="C106" s="16"/>
      <c r="D106" s="16"/>
      <c r="E106" s="16"/>
      <c r="F106" s="16" t="s">
        <v>108</v>
      </c>
      <c r="G106" s="16"/>
      <c r="H106" s="16"/>
      <c r="I106" s="28">
        <v>237.96</v>
      </c>
      <c r="J106" s="25"/>
      <c r="K106" s="28">
        <v>4385.25</v>
      </c>
    </row>
    <row r="107" spans="1:11" x14ac:dyDescent="0.25">
      <c r="A107" s="16"/>
      <c r="B107" s="16"/>
      <c r="C107" s="16"/>
      <c r="D107" s="16"/>
      <c r="E107" s="16" t="s">
        <v>110</v>
      </c>
      <c r="F107" s="16"/>
      <c r="G107" s="16"/>
      <c r="H107" s="16"/>
      <c r="I107" s="24">
        <f>ROUND(SUM(I105:I106),5)</f>
        <v>237.96</v>
      </c>
      <c r="J107" s="25"/>
      <c r="K107" s="24">
        <f>ROUND(SUM(K105:K106),5)</f>
        <v>4385.25</v>
      </c>
    </row>
    <row r="108" spans="1:11" ht="30" customHeight="1" x14ac:dyDescent="0.25">
      <c r="A108" s="16"/>
      <c r="B108" s="16"/>
      <c r="C108" s="16"/>
      <c r="D108" s="16"/>
      <c r="E108" s="16" t="s">
        <v>166</v>
      </c>
      <c r="F108" s="16"/>
      <c r="G108" s="16"/>
      <c r="H108" s="16"/>
      <c r="I108" s="24">
        <v>0</v>
      </c>
      <c r="J108" s="25"/>
      <c r="K108" s="24">
        <v>13</v>
      </c>
    </row>
    <row r="109" spans="1:11" ht="15.75" thickBot="1" x14ac:dyDescent="0.3">
      <c r="A109" s="16"/>
      <c r="B109" s="16"/>
      <c r="C109" s="16"/>
      <c r="D109" s="16"/>
      <c r="E109" s="16" t="s">
        <v>167</v>
      </c>
      <c r="F109" s="16"/>
      <c r="G109" s="16"/>
      <c r="H109" s="16"/>
      <c r="I109" s="26">
        <v>416.39</v>
      </c>
      <c r="J109" s="25"/>
      <c r="K109" s="26">
        <v>46803.41</v>
      </c>
    </row>
    <row r="110" spans="1:11" ht="15.75" thickBot="1" x14ac:dyDescent="0.3">
      <c r="A110" s="16"/>
      <c r="B110" s="16"/>
      <c r="C110" s="16"/>
      <c r="D110" s="16" t="s">
        <v>164</v>
      </c>
      <c r="E110" s="16"/>
      <c r="F110" s="16"/>
      <c r="G110" s="16"/>
      <c r="H110" s="16"/>
      <c r="I110" s="29">
        <f>ROUND(I26+I97+I104+SUM(I107:I109),5)</f>
        <v>14756.43</v>
      </c>
      <c r="J110" s="25"/>
      <c r="K110" s="29">
        <f>ROUND(K26+K97+K104+SUM(K107:K109),5)</f>
        <v>211498.12</v>
      </c>
    </row>
    <row r="111" spans="1:11" ht="30" customHeight="1" thickBot="1" x14ac:dyDescent="0.3">
      <c r="A111" s="16"/>
      <c r="B111" s="16" t="s">
        <v>168</v>
      </c>
      <c r="C111" s="16"/>
      <c r="D111" s="16"/>
      <c r="E111" s="16"/>
      <c r="F111" s="16"/>
      <c r="G111" s="16"/>
      <c r="H111" s="16"/>
      <c r="I111" s="29">
        <f>ROUND(I3+I25-I110,5)</f>
        <v>33329.96</v>
      </c>
      <c r="J111" s="25"/>
      <c r="K111" s="29">
        <f>ROUND(K3+K25-K110,5)</f>
        <v>136017.17000000001</v>
      </c>
    </row>
    <row r="112" spans="1:11" s="31" customFormat="1" ht="30" customHeight="1" thickBot="1" x14ac:dyDescent="0.25">
      <c r="A112" s="16" t="s">
        <v>169</v>
      </c>
      <c r="B112" s="16"/>
      <c r="C112" s="16"/>
      <c r="D112" s="16"/>
      <c r="E112" s="16"/>
      <c r="F112" s="16"/>
      <c r="G112" s="16"/>
      <c r="H112" s="16"/>
      <c r="I112" s="30">
        <f>I111</f>
        <v>33329.96</v>
      </c>
      <c r="J112" s="16"/>
      <c r="K112" s="30">
        <f>K111</f>
        <v>136017.17000000001</v>
      </c>
    </row>
    <row r="113" ht="15.75" thickTop="1" x14ac:dyDescent="0.25"/>
  </sheetData>
  <autoFilter ref="I2:K112">
    <filterColumn colId="1" hiddenButton="1"/>
  </autoFilter>
  <pageMargins left="0.7" right="0.7" top="0.75" bottom="0.75" header="0.25" footer="0.3"/>
  <pageSetup orientation="portrait" r:id="rId1"/>
  <headerFooter>
    <oddHeader>&amp;L&amp;"Arial,Bold"&amp;8 12:15 PM
&amp;"Arial,Bold"&amp;8 09/05/13
&amp;"Arial,Bold"&amp;8 Accrual Basis&amp;C&amp;"Arial,Bold"&amp;12 Heritage Lake Association, Inc.
&amp;"Arial,Bold"&amp;14 Profit &amp;&amp; Loss
&amp;"Arial,Bold"&amp;10 August 2013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945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9457" r:id="rId4" name="FILTER"/>
      </mc:Fallback>
    </mc:AlternateContent>
    <mc:AlternateContent xmlns:mc="http://schemas.openxmlformats.org/markup-compatibility/2006">
      <mc:Choice Requires="x14">
        <control shapeId="1945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9458" r:id="rId6" name="HEADER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127"/>
  <sheetViews>
    <sheetView workbookViewId="0">
      <selection activeCell="F18" sqref="F18"/>
    </sheetView>
  </sheetViews>
  <sheetFormatPr defaultRowHeight="15" x14ac:dyDescent="0.25"/>
  <cols>
    <col min="1" max="6" width="3" style="32" customWidth="1"/>
    <col min="7" max="7" width="30.140625" style="32" customWidth="1"/>
    <col min="8" max="8" width="15" style="33" bestFit="1" customWidth="1"/>
    <col min="9" max="9" width="10.5703125" bestFit="1" customWidth="1"/>
  </cols>
  <sheetData>
    <row r="1" spans="1:8" ht="15.75" thickBot="1" x14ac:dyDescent="0.3">
      <c r="A1" s="16"/>
      <c r="B1" s="16"/>
      <c r="C1" s="16"/>
      <c r="D1" s="16"/>
      <c r="E1" s="16"/>
      <c r="F1" s="16"/>
      <c r="G1" s="16"/>
      <c r="H1" s="17"/>
    </row>
    <row r="2" spans="1:8" ht="16.5" thickTop="1" thickBot="1" x14ac:dyDescent="0.3">
      <c r="A2" s="20"/>
      <c r="B2" s="20"/>
      <c r="C2" s="20"/>
      <c r="D2" s="20"/>
      <c r="E2" s="20"/>
      <c r="F2" s="20"/>
      <c r="G2" s="20"/>
      <c r="H2" s="21" t="s">
        <v>136</v>
      </c>
    </row>
    <row r="3" spans="1:8" ht="15.75" thickTop="1" x14ac:dyDescent="0.25">
      <c r="A3" s="16" t="s">
        <v>137</v>
      </c>
      <c r="B3" s="16"/>
      <c r="C3" s="16"/>
      <c r="D3" s="16"/>
      <c r="E3" s="16"/>
      <c r="F3" s="16"/>
      <c r="G3" s="16"/>
      <c r="H3" s="24"/>
    </row>
    <row r="4" spans="1:8" x14ac:dyDescent="0.25">
      <c r="A4" s="16"/>
      <c r="B4" s="16"/>
      <c r="C4" s="16" t="s">
        <v>138</v>
      </c>
      <c r="D4" s="16"/>
      <c r="E4" s="16"/>
      <c r="F4" s="16"/>
      <c r="G4" s="16"/>
      <c r="H4" s="24"/>
    </row>
    <row r="5" spans="1:8" x14ac:dyDescent="0.25">
      <c r="A5" s="16"/>
      <c r="B5" s="16"/>
      <c r="C5" s="16"/>
      <c r="E5" s="16"/>
      <c r="F5" s="16" t="s">
        <v>139</v>
      </c>
      <c r="G5" s="16"/>
      <c r="H5" s="24">
        <v>235366.61</v>
      </c>
    </row>
    <row r="6" spans="1:8" x14ac:dyDescent="0.25">
      <c r="A6" s="16"/>
      <c r="B6" s="16"/>
      <c r="C6" s="16"/>
      <c r="E6" s="16"/>
      <c r="F6" s="16" t="s">
        <v>140</v>
      </c>
      <c r="G6" s="16"/>
      <c r="H6" s="24">
        <v>1500</v>
      </c>
    </row>
    <row r="7" spans="1:8" x14ac:dyDescent="0.25">
      <c r="A7" s="16"/>
      <c r="B7" s="16"/>
      <c r="C7" s="16"/>
      <c r="E7" s="16"/>
      <c r="F7" s="16" t="s">
        <v>141</v>
      </c>
      <c r="G7" s="16"/>
      <c r="H7" s="24">
        <v>52008.12</v>
      </c>
    </row>
    <row r="8" spans="1:8" x14ac:dyDescent="0.25">
      <c r="A8" s="16"/>
      <c r="B8" s="16"/>
      <c r="C8" s="16"/>
      <c r="E8" s="16"/>
      <c r="F8" s="16" t="s">
        <v>142</v>
      </c>
      <c r="G8" s="16"/>
      <c r="H8" s="24">
        <v>575</v>
      </c>
    </row>
    <row r="9" spans="1:8" x14ac:dyDescent="0.25">
      <c r="A9" s="16"/>
      <c r="B9" s="16"/>
      <c r="C9" s="16"/>
      <c r="E9" s="16"/>
      <c r="F9" s="16" t="s">
        <v>143</v>
      </c>
      <c r="G9" s="16"/>
      <c r="H9" s="24">
        <v>-25</v>
      </c>
    </row>
    <row r="10" spans="1:8" x14ac:dyDescent="0.25">
      <c r="A10" s="16"/>
      <c r="B10" s="16"/>
      <c r="C10" s="16"/>
      <c r="E10" s="16"/>
      <c r="F10" s="16" t="s">
        <v>144</v>
      </c>
      <c r="G10" s="16"/>
      <c r="H10" s="24">
        <v>120</v>
      </c>
    </row>
    <row r="11" spans="1:8" x14ac:dyDescent="0.25">
      <c r="A11" s="16"/>
      <c r="B11" s="16"/>
      <c r="C11" s="16"/>
      <c r="E11" s="16"/>
      <c r="F11" s="16" t="s">
        <v>145</v>
      </c>
      <c r="G11" s="16"/>
      <c r="H11" s="24">
        <v>1295.97</v>
      </c>
    </row>
    <row r="12" spans="1:8" x14ac:dyDescent="0.25">
      <c r="A12" s="16"/>
      <c r="B12" s="16"/>
      <c r="C12" s="16"/>
      <c r="E12" s="16"/>
      <c r="F12" s="16" t="s">
        <v>146</v>
      </c>
      <c r="G12" s="16"/>
      <c r="H12" s="24">
        <v>4673</v>
      </c>
    </row>
    <row r="13" spans="1:8" x14ac:dyDescent="0.25">
      <c r="A13" s="16"/>
      <c r="B13" s="16"/>
      <c r="C13" s="16"/>
      <c r="E13" s="16"/>
      <c r="F13" s="16" t="s">
        <v>147</v>
      </c>
      <c r="G13" s="16"/>
      <c r="H13" s="24">
        <v>210</v>
      </c>
    </row>
    <row r="14" spans="1:8" x14ac:dyDescent="0.25">
      <c r="A14" s="16"/>
      <c r="B14" s="16"/>
      <c r="C14" s="16"/>
      <c r="E14" s="16"/>
      <c r="F14" s="16" t="s">
        <v>148</v>
      </c>
      <c r="G14" s="16"/>
      <c r="H14" s="24">
        <v>48168.59</v>
      </c>
    </row>
    <row r="15" spans="1:8" x14ac:dyDescent="0.25">
      <c r="A15" s="16"/>
      <c r="B15" s="16"/>
      <c r="C15" s="16"/>
      <c r="E15" s="16"/>
      <c r="F15" s="16" t="s">
        <v>149</v>
      </c>
      <c r="G15" s="16"/>
      <c r="H15" s="24">
        <v>300</v>
      </c>
    </row>
    <row r="16" spans="1:8" x14ac:dyDescent="0.25">
      <c r="A16" s="16"/>
      <c r="B16" s="16"/>
      <c r="C16" s="16"/>
      <c r="E16" s="16"/>
      <c r="F16" s="16" t="s">
        <v>150</v>
      </c>
      <c r="G16" s="16"/>
      <c r="H16" s="24">
        <v>400</v>
      </c>
    </row>
    <row r="17" spans="1:8" x14ac:dyDescent="0.25">
      <c r="A17" s="16"/>
      <c r="B17" s="16"/>
      <c r="C17" s="16"/>
      <c r="E17" s="16"/>
      <c r="F17" s="16" t="s">
        <v>151</v>
      </c>
      <c r="G17" s="16"/>
      <c r="H17" s="24">
        <v>2247.5500000000002</v>
      </c>
    </row>
    <row r="18" spans="1:8" x14ac:dyDescent="0.25">
      <c r="A18" s="16"/>
      <c r="B18" s="16"/>
      <c r="C18" s="16"/>
      <c r="E18" s="16"/>
      <c r="F18" s="16" t="s">
        <v>152</v>
      </c>
      <c r="G18" s="16"/>
      <c r="H18" s="24">
        <v>59.81</v>
      </c>
    </row>
    <row r="19" spans="1:8" x14ac:dyDescent="0.25">
      <c r="A19" s="16"/>
      <c r="B19" s="16"/>
      <c r="C19" s="16"/>
      <c r="E19" s="16"/>
      <c r="F19" s="16" t="s">
        <v>153</v>
      </c>
      <c r="G19" s="16"/>
      <c r="H19" s="24">
        <v>292</v>
      </c>
    </row>
    <row r="20" spans="1:8" x14ac:dyDescent="0.25">
      <c r="A20" s="16"/>
      <c r="B20" s="16"/>
      <c r="C20" s="16"/>
      <c r="E20" s="16"/>
      <c r="F20" s="16" t="s">
        <v>154</v>
      </c>
      <c r="G20" s="16"/>
      <c r="H20" s="24">
        <v>16.07</v>
      </c>
    </row>
    <row r="21" spans="1:8" x14ac:dyDescent="0.25">
      <c r="A21" s="16"/>
      <c r="B21" s="16"/>
      <c r="C21" s="16"/>
      <c r="E21" s="16"/>
      <c r="F21" s="16" t="s">
        <v>155</v>
      </c>
      <c r="G21" s="16"/>
      <c r="H21" s="24">
        <v>297.70999999999998</v>
      </c>
    </row>
    <row r="22" spans="1:8" x14ac:dyDescent="0.25">
      <c r="A22" s="16"/>
      <c r="B22" s="16"/>
      <c r="C22" s="16"/>
      <c r="E22" s="16"/>
      <c r="F22" s="16" t="s">
        <v>156</v>
      </c>
      <c r="G22" s="16"/>
      <c r="H22" s="24">
        <v>8.93</v>
      </c>
    </row>
    <row r="23" spans="1:8" ht="15.75" thickBot="1" x14ac:dyDescent="0.3">
      <c r="A23" s="16"/>
      <c r="B23" s="16"/>
      <c r="C23" s="16"/>
      <c r="E23" s="16"/>
      <c r="F23" s="16" t="s">
        <v>157</v>
      </c>
      <c r="G23" s="16"/>
      <c r="H23" s="26">
        <v>0.93</v>
      </c>
    </row>
    <row r="24" spans="1:8" ht="15.75" thickBot="1" x14ac:dyDescent="0.3">
      <c r="A24" s="16"/>
      <c r="B24" s="16"/>
      <c r="C24" s="16" t="s">
        <v>158</v>
      </c>
      <c r="D24" s="16"/>
      <c r="E24" s="16"/>
      <c r="F24" s="16"/>
      <c r="G24" s="16"/>
      <c r="H24" s="27">
        <f>ROUND(SUM(H4:H23),5)</f>
        <v>347515.29</v>
      </c>
    </row>
    <row r="25" spans="1:8" x14ac:dyDescent="0.25">
      <c r="A25" s="16"/>
      <c r="B25" s="16" t="s">
        <v>159</v>
      </c>
      <c r="C25" s="16"/>
      <c r="D25" s="16"/>
      <c r="E25" s="16"/>
      <c r="F25" s="16"/>
      <c r="G25" s="16"/>
      <c r="H25" s="24">
        <f>H24</f>
        <v>347515.29</v>
      </c>
    </row>
    <row r="26" spans="1:8" x14ac:dyDescent="0.25">
      <c r="A26" s="16"/>
      <c r="B26" s="16"/>
      <c r="C26" s="16" t="s">
        <v>160</v>
      </c>
      <c r="D26" s="16"/>
      <c r="E26" s="16"/>
      <c r="F26" s="16"/>
      <c r="G26" s="16"/>
      <c r="H26" s="24"/>
    </row>
    <row r="27" spans="1:8" x14ac:dyDescent="0.25">
      <c r="A27" s="16"/>
      <c r="B27" s="16"/>
      <c r="C27" s="16"/>
      <c r="D27" s="16" t="s">
        <v>160</v>
      </c>
      <c r="E27" s="16"/>
      <c r="F27" s="16"/>
      <c r="G27" s="16"/>
      <c r="H27" s="24"/>
    </row>
    <row r="28" spans="1:8" x14ac:dyDescent="0.25">
      <c r="A28" s="16"/>
      <c r="B28" s="16"/>
      <c r="C28" s="16"/>
      <c r="D28" s="16"/>
      <c r="E28" s="16" t="s">
        <v>111</v>
      </c>
      <c r="F28" s="16"/>
      <c r="G28" s="16"/>
      <c r="H28" s="24"/>
    </row>
    <row r="29" spans="1:8" ht="15.75" thickBot="1" x14ac:dyDescent="0.3">
      <c r="A29" s="16"/>
      <c r="B29" s="16"/>
      <c r="C29" s="16"/>
      <c r="D29" s="16"/>
      <c r="E29" s="16"/>
      <c r="F29" s="16" t="s">
        <v>112</v>
      </c>
      <c r="G29" s="16"/>
      <c r="H29" s="28">
        <v>364.21</v>
      </c>
    </row>
    <row r="30" spans="1:8" x14ac:dyDescent="0.25">
      <c r="A30" s="16"/>
      <c r="B30" s="16"/>
      <c r="C30" s="16"/>
      <c r="D30" s="16"/>
      <c r="E30" s="16"/>
      <c r="F30" s="16"/>
      <c r="G30" s="16"/>
      <c r="H30" s="26"/>
    </row>
    <row r="31" spans="1:8" x14ac:dyDescent="0.25">
      <c r="A31" s="16"/>
      <c r="B31" s="16"/>
      <c r="C31" s="16"/>
      <c r="D31" s="16"/>
      <c r="E31" s="16"/>
      <c r="F31" s="16"/>
      <c r="G31" s="16"/>
      <c r="H31" s="26"/>
    </row>
    <row r="32" spans="1:8" x14ac:dyDescent="0.25">
      <c r="A32" s="16"/>
      <c r="B32" s="16"/>
      <c r="C32" s="16"/>
      <c r="D32" s="16"/>
      <c r="E32" s="16"/>
      <c r="F32" s="16"/>
      <c r="G32" s="16"/>
      <c r="H32" s="26"/>
    </row>
    <row r="33" spans="1:8" x14ac:dyDescent="0.25">
      <c r="A33" s="16"/>
      <c r="B33" s="16"/>
      <c r="C33" s="16"/>
      <c r="D33" s="16"/>
      <c r="E33" s="16"/>
      <c r="F33" s="16"/>
      <c r="G33" s="16"/>
      <c r="H33" s="26"/>
    </row>
    <row r="34" spans="1:8" x14ac:dyDescent="0.25">
      <c r="A34" s="16"/>
      <c r="B34" s="16"/>
      <c r="C34" s="16"/>
      <c r="D34" s="16"/>
      <c r="E34" s="16"/>
      <c r="F34" s="16"/>
      <c r="G34" s="16"/>
      <c r="H34" s="26"/>
    </row>
    <row r="35" spans="1:8" x14ac:dyDescent="0.25">
      <c r="A35" s="16"/>
      <c r="B35" s="16"/>
      <c r="C35" s="16"/>
      <c r="D35" s="16"/>
      <c r="E35" s="16"/>
      <c r="F35" s="16"/>
      <c r="G35" s="16"/>
      <c r="H35" s="26"/>
    </row>
    <row r="36" spans="1:8" x14ac:dyDescent="0.25">
      <c r="A36" s="16"/>
      <c r="B36" s="16"/>
      <c r="C36" s="16"/>
      <c r="D36" s="16"/>
      <c r="E36" s="16"/>
      <c r="F36" s="16"/>
      <c r="G36" s="16"/>
      <c r="H36" s="26"/>
    </row>
    <row r="37" spans="1:8" x14ac:dyDescent="0.25">
      <c r="A37" s="16"/>
      <c r="B37" s="16"/>
      <c r="C37" s="16"/>
      <c r="D37" s="16"/>
      <c r="E37" s="16"/>
      <c r="F37" s="16"/>
      <c r="G37" s="16"/>
      <c r="H37" s="26"/>
    </row>
    <row r="38" spans="1:8" x14ac:dyDescent="0.25">
      <c r="A38" s="16"/>
      <c r="B38" s="16"/>
      <c r="C38" s="16"/>
      <c r="D38" s="16"/>
      <c r="E38" s="16"/>
      <c r="F38" s="16"/>
      <c r="G38" s="16"/>
      <c r="H38" s="26"/>
    </row>
    <row r="39" spans="1:8" x14ac:dyDescent="0.25">
      <c r="A39" s="16"/>
      <c r="B39" s="16"/>
      <c r="C39" s="16"/>
      <c r="D39" s="16"/>
      <c r="E39" s="16"/>
      <c r="F39" s="16"/>
      <c r="G39" s="16"/>
      <c r="H39" s="26"/>
    </row>
    <row r="40" spans="1:8" x14ac:dyDescent="0.25">
      <c r="A40" s="16"/>
      <c r="B40" s="16"/>
      <c r="C40" s="16"/>
      <c r="D40" s="16"/>
      <c r="E40" s="16"/>
      <c r="F40" s="16"/>
      <c r="G40" s="16"/>
      <c r="H40" s="26"/>
    </row>
    <row r="41" spans="1:8" x14ac:dyDescent="0.25">
      <c r="A41" s="16"/>
      <c r="B41" s="16"/>
      <c r="C41" s="16"/>
      <c r="D41" s="16"/>
      <c r="E41" s="16"/>
      <c r="F41" s="16"/>
      <c r="G41" s="16"/>
      <c r="H41" s="26"/>
    </row>
    <row r="42" spans="1:8" x14ac:dyDescent="0.25">
      <c r="A42" s="16"/>
      <c r="B42" s="16"/>
      <c r="C42" s="16"/>
      <c r="D42" s="16"/>
      <c r="E42" s="16"/>
      <c r="F42" s="16"/>
      <c r="G42" s="16"/>
      <c r="H42" s="26"/>
    </row>
    <row r="43" spans="1:8" x14ac:dyDescent="0.25">
      <c r="A43" s="16"/>
      <c r="B43" s="16"/>
      <c r="C43" s="16"/>
      <c r="D43" s="16"/>
      <c r="E43" s="16"/>
      <c r="F43" s="16"/>
      <c r="G43" s="16"/>
      <c r="H43" s="26"/>
    </row>
    <row r="44" spans="1:8" x14ac:dyDescent="0.25">
      <c r="A44" s="16"/>
      <c r="B44" s="16"/>
      <c r="C44" s="16"/>
      <c r="D44" s="16"/>
      <c r="E44" s="16" t="s">
        <v>119</v>
      </c>
      <c r="F44" s="16"/>
      <c r="G44" s="16"/>
      <c r="H44" s="24">
        <f>ROUND(SUM(H28:H29),5)</f>
        <v>364.21</v>
      </c>
    </row>
    <row r="45" spans="1:8" x14ac:dyDescent="0.25">
      <c r="A45" s="16"/>
      <c r="B45" s="16"/>
      <c r="C45" s="16"/>
      <c r="D45" s="16"/>
      <c r="E45" s="16" t="s">
        <v>0</v>
      </c>
      <c r="F45" s="16"/>
      <c r="G45" s="16"/>
      <c r="H45" s="24"/>
    </row>
    <row r="46" spans="1:8" x14ac:dyDescent="0.25">
      <c r="A46" s="16"/>
      <c r="B46" s="16"/>
      <c r="C46" s="16"/>
      <c r="D46" s="16"/>
      <c r="E46" s="16"/>
      <c r="F46" s="16" t="s">
        <v>1</v>
      </c>
      <c r="G46" s="16"/>
      <c r="H46" s="24">
        <v>1084.73</v>
      </c>
    </row>
    <row r="47" spans="1:8" x14ac:dyDescent="0.25">
      <c r="A47" s="16"/>
      <c r="B47" s="16"/>
      <c r="C47" s="16"/>
      <c r="D47" s="16"/>
      <c r="E47" s="16"/>
      <c r="F47" s="16" t="s">
        <v>2</v>
      </c>
      <c r="G47" s="16"/>
      <c r="H47" s="24">
        <v>4434.37</v>
      </c>
    </row>
    <row r="48" spans="1:8" x14ac:dyDescent="0.25">
      <c r="A48" s="16"/>
      <c r="B48" s="16"/>
      <c r="C48" s="16"/>
      <c r="D48" s="16"/>
      <c r="E48" s="16"/>
      <c r="F48" s="16" t="s">
        <v>3</v>
      </c>
      <c r="G48" s="16"/>
      <c r="H48" s="24">
        <v>1032.83</v>
      </c>
    </row>
    <row r="49" spans="1:8" x14ac:dyDescent="0.25">
      <c r="A49" s="16"/>
      <c r="B49" s="16"/>
      <c r="C49" s="16"/>
      <c r="D49" s="16"/>
      <c r="E49" s="16"/>
      <c r="F49" s="16" t="s">
        <v>5</v>
      </c>
      <c r="G49" s="16"/>
      <c r="H49" s="24">
        <v>2086.84</v>
      </c>
    </row>
    <row r="50" spans="1:8" x14ac:dyDescent="0.25">
      <c r="A50" s="16"/>
      <c r="B50" s="16"/>
      <c r="C50" s="16"/>
      <c r="D50" s="16"/>
      <c r="E50" s="16"/>
      <c r="F50" s="16" t="s">
        <v>6</v>
      </c>
      <c r="G50" s="16"/>
      <c r="H50" s="24">
        <v>184.84</v>
      </c>
    </row>
    <row r="51" spans="1:8" x14ac:dyDescent="0.25">
      <c r="A51" s="16"/>
      <c r="B51" s="16"/>
      <c r="C51" s="16"/>
      <c r="D51" s="16"/>
      <c r="E51" s="16"/>
      <c r="F51" s="16" t="s">
        <v>7</v>
      </c>
      <c r="G51" s="16"/>
      <c r="H51" s="24">
        <v>1329.24</v>
      </c>
    </row>
    <row r="52" spans="1:8" x14ac:dyDescent="0.25">
      <c r="A52" s="16"/>
      <c r="B52" s="16"/>
      <c r="C52" s="16"/>
      <c r="D52" s="16"/>
      <c r="E52" s="16"/>
      <c r="F52" s="16" t="s">
        <v>8</v>
      </c>
      <c r="G52" s="16"/>
      <c r="H52" s="24">
        <v>364.08</v>
      </c>
    </row>
    <row r="53" spans="1:8" x14ac:dyDescent="0.25">
      <c r="A53" s="16"/>
      <c r="B53" s="16"/>
      <c r="C53" s="16"/>
      <c r="D53" s="16"/>
      <c r="E53" s="16"/>
      <c r="F53" s="16" t="s">
        <v>9</v>
      </c>
      <c r="G53" s="16"/>
      <c r="H53" s="24">
        <v>132.22999999999999</v>
      </c>
    </row>
    <row r="54" spans="1:8" x14ac:dyDescent="0.25">
      <c r="A54" s="16"/>
      <c r="B54" s="16"/>
      <c r="C54" s="16"/>
      <c r="D54" s="16"/>
      <c r="E54" s="16"/>
      <c r="F54" s="16" t="s">
        <v>10</v>
      </c>
      <c r="G54" s="16"/>
      <c r="H54" s="24">
        <v>0</v>
      </c>
    </row>
    <row r="55" spans="1:8" x14ac:dyDescent="0.25">
      <c r="A55" s="16"/>
      <c r="B55" s="16"/>
      <c r="C55" s="16"/>
      <c r="D55" s="16"/>
      <c r="E55" s="16"/>
      <c r="F55" s="16" t="s">
        <v>11</v>
      </c>
      <c r="G55" s="16"/>
      <c r="H55" s="24">
        <v>1737.14</v>
      </c>
    </row>
    <row r="56" spans="1:8" x14ac:dyDescent="0.25">
      <c r="A56" s="16"/>
      <c r="B56" s="16"/>
      <c r="C56" s="16"/>
      <c r="D56" s="16"/>
      <c r="E56" s="16"/>
      <c r="F56" s="16" t="s">
        <v>12</v>
      </c>
      <c r="G56" s="16"/>
      <c r="H56" s="24">
        <v>8051.91</v>
      </c>
    </row>
    <row r="57" spans="1:8" x14ac:dyDescent="0.25">
      <c r="A57" s="16"/>
      <c r="B57" s="16"/>
      <c r="C57" s="16"/>
      <c r="D57" s="16"/>
      <c r="E57" s="16"/>
      <c r="F57" s="16" t="s">
        <v>13</v>
      </c>
      <c r="G57" s="16"/>
      <c r="H57" s="24">
        <v>2752.94</v>
      </c>
    </row>
    <row r="58" spans="1:8" x14ac:dyDescent="0.25">
      <c r="A58" s="16"/>
      <c r="B58" s="16"/>
      <c r="C58" s="16"/>
      <c r="D58" s="16"/>
      <c r="E58" s="16"/>
      <c r="F58" s="16" t="s">
        <v>17</v>
      </c>
      <c r="G58" s="16"/>
      <c r="H58" s="24">
        <v>1906.38</v>
      </c>
    </row>
    <row r="59" spans="1:8" x14ac:dyDescent="0.25">
      <c r="A59" s="16"/>
      <c r="B59" s="16"/>
      <c r="C59" s="16"/>
      <c r="D59" s="16"/>
      <c r="E59" s="16"/>
      <c r="F59" s="16" t="s">
        <v>19</v>
      </c>
      <c r="G59" s="16"/>
      <c r="H59" s="24">
        <v>1265.6400000000001</v>
      </c>
    </row>
    <row r="60" spans="1:8" ht="15.75" thickBot="1" x14ac:dyDescent="0.3">
      <c r="A60" s="16"/>
      <c r="B60" s="16"/>
      <c r="C60" s="16"/>
      <c r="D60" s="16"/>
      <c r="E60" s="16"/>
      <c r="F60" s="16" t="s">
        <v>21</v>
      </c>
      <c r="G60" s="16"/>
      <c r="H60" s="28">
        <v>539.70000000000005</v>
      </c>
    </row>
    <row r="61" spans="1:8" x14ac:dyDescent="0.25">
      <c r="A61" s="16"/>
      <c r="B61" s="16"/>
      <c r="C61" s="16"/>
      <c r="D61" s="16"/>
      <c r="E61" s="16" t="s">
        <v>23</v>
      </c>
      <c r="F61" s="16"/>
      <c r="G61" s="16"/>
      <c r="H61" s="24">
        <f>ROUND(SUM(H45:H60),5)</f>
        <v>26902.87</v>
      </c>
    </row>
    <row r="62" spans="1:8" x14ac:dyDescent="0.25">
      <c r="A62" s="16"/>
      <c r="B62" s="16"/>
      <c r="C62" s="16"/>
      <c r="D62" s="16"/>
      <c r="E62" s="16" t="s">
        <v>161</v>
      </c>
      <c r="F62" s="16"/>
      <c r="G62" s="16"/>
      <c r="H62" s="24"/>
    </row>
    <row r="63" spans="1:8" x14ac:dyDescent="0.25">
      <c r="A63" s="16"/>
      <c r="B63" s="16"/>
      <c r="C63" s="16"/>
      <c r="D63" s="16"/>
      <c r="E63" s="16"/>
      <c r="F63" s="16" t="s">
        <v>40</v>
      </c>
      <c r="G63" s="16"/>
      <c r="H63" s="24"/>
    </row>
    <row r="64" spans="1:8" x14ac:dyDescent="0.25">
      <c r="A64" s="16"/>
      <c r="B64" s="16"/>
      <c r="C64" s="16"/>
      <c r="D64" s="16"/>
      <c r="E64" s="16"/>
      <c r="F64" s="16"/>
      <c r="G64" s="16" t="s">
        <v>43</v>
      </c>
      <c r="H64" s="24">
        <v>1228.54</v>
      </c>
    </row>
    <row r="65" spans="1:8" x14ac:dyDescent="0.25">
      <c r="A65" s="16"/>
      <c r="B65" s="16"/>
      <c r="C65" s="16"/>
      <c r="D65" s="16"/>
      <c r="E65" s="16"/>
      <c r="F65" s="16"/>
      <c r="G65" s="16" t="s">
        <v>45</v>
      </c>
      <c r="H65" s="24">
        <v>873</v>
      </c>
    </row>
    <row r="66" spans="1:8" x14ac:dyDescent="0.25">
      <c r="A66" s="16"/>
      <c r="B66" s="16"/>
      <c r="C66" s="16"/>
      <c r="D66" s="16"/>
      <c r="E66" s="16"/>
      <c r="F66" s="16"/>
      <c r="G66" s="16" t="s">
        <v>46</v>
      </c>
      <c r="H66" s="24">
        <v>83.82</v>
      </c>
    </row>
    <row r="67" spans="1:8" x14ac:dyDescent="0.25">
      <c r="A67" s="16"/>
      <c r="B67" s="16"/>
      <c r="C67" s="16"/>
      <c r="D67" s="16"/>
      <c r="E67" s="16"/>
      <c r="F67" s="16"/>
      <c r="G67" s="16" t="s">
        <v>47</v>
      </c>
      <c r="H67" s="24">
        <v>284.98</v>
      </c>
    </row>
    <row r="68" spans="1:8" ht="15.75" thickBot="1" x14ac:dyDescent="0.3">
      <c r="A68" s="16"/>
      <c r="B68" s="16"/>
      <c r="C68" s="16"/>
      <c r="D68" s="16"/>
      <c r="E68" s="16"/>
      <c r="F68" s="16"/>
      <c r="G68" s="16" t="s">
        <v>48</v>
      </c>
      <c r="H68" s="28">
        <v>7.75</v>
      </c>
    </row>
    <row r="69" spans="1:8" x14ac:dyDescent="0.25">
      <c r="A69" s="16"/>
      <c r="B69" s="16"/>
      <c r="C69" s="16"/>
      <c r="D69" s="16"/>
      <c r="E69" s="16"/>
      <c r="F69" s="16" t="s">
        <v>51</v>
      </c>
      <c r="G69" s="16"/>
      <c r="H69" s="24">
        <f>ROUND(SUM(H63:H68),5)</f>
        <v>2478.09</v>
      </c>
    </row>
    <row r="70" spans="1:8" x14ac:dyDescent="0.25">
      <c r="A70" s="16"/>
      <c r="B70" s="16"/>
      <c r="C70" s="16"/>
      <c r="D70" s="16"/>
      <c r="E70" s="16"/>
      <c r="F70" s="16" t="s">
        <v>32</v>
      </c>
      <c r="G70" s="16"/>
      <c r="H70" s="24"/>
    </row>
    <row r="71" spans="1:8" x14ac:dyDescent="0.25">
      <c r="A71" s="16"/>
      <c r="B71" s="16"/>
      <c r="C71" s="16"/>
      <c r="D71" s="16"/>
      <c r="E71" s="16"/>
      <c r="F71" s="16"/>
      <c r="G71" s="16" t="s">
        <v>35</v>
      </c>
      <c r="H71" s="24">
        <v>436.48</v>
      </c>
    </row>
    <row r="72" spans="1:8" x14ac:dyDescent="0.25">
      <c r="A72" s="16"/>
      <c r="B72" s="16"/>
      <c r="C72" s="16"/>
      <c r="D72" s="16"/>
      <c r="E72" s="16"/>
      <c r="F72" s="16"/>
      <c r="G72" s="16" t="s">
        <v>36</v>
      </c>
      <c r="H72" s="24">
        <v>130.75</v>
      </c>
    </row>
    <row r="73" spans="1:8" ht="15.75" thickBot="1" x14ac:dyDescent="0.3">
      <c r="A73" s="16"/>
      <c r="B73" s="16"/>
      <c r="C73" s="16"/>
      <c r="D73" s="16"/>
      <c r="E73" s="16"/>
      <c r="F73" s="16"/>
      <c r="G73" s="16" t="s">
        <v>38</v>
      </c>
      <c r="H73" s="26">
        <v>232.29</v>
      </c>
    </row>
    <row r="74" spans="1:8" ht="15.75" thickBot="1" x14ac:dyDescent="0.3">
      <c r="A74" s="16"/>
      <c r="B74" s="16"/>
      <c r="C74" s="16"/>
      <c r="D74" s="16"/>
      <c r="E74" s="16"/>
      <c r="F74" s="16" t="s">
        <v>39</v>
      </c>
      <c r="G74" s="16"/>
      <c r="H74" s="27">
        <f>ROUND(SUM(H70:H73),5)</f>
        <v>799.52</v>
      </c>
    </row>
    <row r="75" spans="1:8" x14ac:dyDescent="0.25">
      <c r="A75" s="16"/>
      <c r="B75" s="16"/>
      <c r="C75" s="16"/>
      <c r="D75" s="16"/>
      <c r="E75" s="16" t="s">
        <v>162</v>
      </c>
      <c r="F75" s="16"/>
      <c r="G75" s="16"/>
      <c r="H75" s="24">
        <f>ROUND(H62+H69+H74,5)</f>
        <v>3277.61</v>
      </c>
    </row>
    <row r="76" spans="1:8" x14ac:dyDescent="0.25">
      <c r="A76" s="16"/>
      <c r="B76" s="16"/>
      <c r="C76" s="16"/>
      <c r="D76" s="16"/>
      <c r="E76" s="16" t="s">
        <v>52</v>
      </c>
      <c r="F76" s="16"/>
      <c r="G76" s="16"/>
      <c r="H76" s="24"/>
    </row>
    <row r="77" spans="1:8" x14ac:dyDescent="0.25">
      <c r="A77" s="16"/>
      <c r="B77" s="16"/>
      <c r="C77" s="16"/>
      <c r="D77" s="16"/>
      <c r="E77" s="16"/>
      <c r="F77" s="16" t="s">
        <v>53</v>
      </c>
      <c r="G77" s="16"/>
      <c r="H77" s="24">
        <v>1627.91</v>
      </c>
    </row>
    <row r="78" spans="1:8" x14ac:dyDescent="0.25">
      <c r="A78" s="16"/>
      <c r="B78" s="16"/>
      <c r="C78" s="16"/>
      <c r="D78" s="16"/>
      <c r="E78" s="16"/>
      <c r="F78" s="16" t="s">
        <v>54</v>
      </c>
      <c r="G78" s="16"/>
      <c r="H78" s="24">
        <v>1005</v>
      </c>
    </row>
    <row r="79" spans="1:8" x14ac:dyDescent="0.25">
      <c r="A79" s="16"/>
      <c r="B79" s="16"/>
      <c r="C79" s="16"/>
      <c r="D79" s="16"/>
      <c r="E79" s="16"/>
      <c r="F79" s="16" t="s">
        <v>55</v>
      </c>
      <c r="G79" s="16"/>
      <c r="H79" s="24">
        <v>4617.6099999999997</v>
      </c>
    </row>
    <row r="80" spans="1:8" x14ac:dyDescent="0.25">
      <c r="A80" s="16"/>
      <c r="B80" s="16"/>
      <c r="C80" s="16"/>
      <c r="D80" s="16"/>
      <c r="E80" s="16"/>
      <c r="F80" s="16" t="s">
        <v>56</v>
      </c>
      <c r="G80" s="16"/>
      <c r="H80" s="24">
        <v>1538.41</v>
      </c>
    </row>
    <row r="81" spans="1:8" x14ac:dyDescent="0.25">
      <c r="A81" s="16"/>
      <c r="B81" s="16"/>
      <c r="C81" s="16"/>
      <c r="D81" s="16"/>
      <c r="E81" s="16"/>
      <c r="F81" s="16" t="s">
        <v>57</v>
      </c>
      <c r="G81" s="16"/>
      <c r="H81" s="24">
        <v>1275.8</v>
      </c>
    </row>
    <row r="82" spans="1:8" x14ac:dyDescent="0.25">
      <c r="A82" s="16"/>
      <c r="B82" s="16"/>
      <c r="C82" s="16"/>
      <c r="D82" s="16"/>
      <c r="E82" s="16"/>
      <c r="F82" s="16" t="s">
        <v>58</v>
      </c>
      <c r="G82" s="16"/>
      <c r="H82" s="24">
        <v>1351.02</v>
      </c>
    </row>
    <row r="83" spans="1:8" x14ac:dyDescent="0.25">
      <c r="A83" s="16"/>
      <c r="B83" s="16"/>
      <c r="C83" s="16"/>
      <c r="D83" s="16"/>
      <c r="E83" s="16"/>
      <c r="F83" s="16" t="s">
        <v>59</v>
      </c>
      <c r="G83" s="16"/>
      <c r="H83" s="24">
        <v>1647.99</v>
      </c>
    </row>
    <row r="84" spans="1:8" x14ac:dyDescent="0.25">
      <c r="A84" s="16"/>
      <c r="B84" s="16"/>
      <c r="C84" s="16"/>
      <c r="D84" s="16"/>
      <c r="E84" s="16"/>
      <c r="F84" s="16" t="s">
        <v>163</v>
      </c>
      <c r="G84" s="16"/>
      <c r="H84" s="24">
        <v>480.8</v>
      </c>
    </row>
    <row r="85" spans="1:8" x14ac:dyDescent="0.25">
      <c r="A85" s="16"/>
      <c r="B85" s="16"/>
      <c r="C85" s="16"/>
      <c r="D85" s="16"/>
      <c r="E85" s="16"/>
      <c r="F85" s="16" t="s">
        <v>62</v>
      </c>
      <c r="G85" s="16"/>
      <c r="H85" s="24">
        <v>5281.2</v>
      </c>
    </row>
    <row r="86" spans="1:8" x14ac:dyDescent="0.25">
      <c r="A86" s="16"/>
      <c r="B86" s="16"/>
      <c r="C86" s="16"/>
      <c r="D86" s="16"/>
      <c r="E86" s="16"/>
      <c r="F86" s="16" t="s">
        <v>63</v>
      </c>
      <c r="G86" s="16"/>
      <c r="H86" s="24">
        <v>1036.5999999999999</v>
      </c>
    </row>
    <row r="87" spans="1:8" x14ac:dyDescent="0.25">
      <c r="A87" s="16"/>
      <c r="B87" s="16"/>
      <c r="C87" s="16"/>
      <c r="D87" s="16"/>
      <c r="E87" s="16"/>
      <c r="F87" s="16" t="s">
        <v>64</v>
      </c>
      <c r="G87" s="16"/>
      <c r="H87" s="24">
        <v>4014.32</v>
      </c>
    </row>
    <row r="88" spans="1:8" x14ac:dyDescent="0.25">
      <c r="A88" s="16"/>
      <c r="B88" s="16"/>
      <c r="C88" s="16"/>
      <c r="D88" s="16"/>
      <c r="E88" s="16"/>
      <c r="F88" s="16" t="s">
        <v>65</v>
      </c>
      <c r="G88" s="16"/>
      <c r="H88" s="24">
        <v>21.48</v>
      </c>
    </row>
    <row r="89" spans="1:8" x14ac:dyDescent="0.25">
      <c r="A89" s="16"/>
      <c r="B89" s="16"/>
      <c r="C89" s="16"/>
      <c r="D89" s="16"/>
      <c r="E89" s="16"/>
      <c r="F89" s="16" t="s">
        <v>68</v>
      </c>
      <c r="G89" s="16"/>
      <c r="H89" s="24">
        <v>678.75</v>
      </c>
    </row>
    <row r="90" spans="1:8" x14ac:dyDescent="0.25">
      <c r="A90" s="16"/>
      <c r="B90" s="16"/>
      <c r="C90" s="16"/>
      <c r="D90" s="16"/>
      <c r="E90" s="16"/>
      <c r="F90" s="16" t="s">
        <v>69</v>
      </c>
      <c r="G90" s="16"/>
      <c r="H90" s="24">
        <v>864.98</v>
      </c>
    </row>
    <row r="91" spans="1:8" x14ac:dyDescent="0.25">
      <c r="A91" s="16"/>
      <c r="B91" s="16"/>
      <c r="C91" s="16"/>
      <c r="D91" s="16"/>
      <c r="E91" s="16"/>
      <c r="F91" s="16" t="s">
        <v>70</v>
      </c>
      <c r="G91" s="16"/>
      <c r="H91" s="24">
        <v>90</v>
      </c>
    </row>
    <row r="92" spans="1:8" x14ac:dyDescent="0.25">
      <c r="A92" s="16"/>
      <c r="B92" s="16"/>
      <c r="C92" s="16"/>
      <c r="D92" s="16"/>
      <c r="E92" s="16"/>
      <c r="F92" s="16" t="s">
        <v>71</v>
      </c>
      <c r="G92" s="16"/>
      <c r="H92" s="24">
        <v>430</v>
      </c>
    </row>
    <row r="93" spans="1:8" x14ac:dyDescent="0.25">
      <c r="A93" s="16"/>
      <c r="B93" s="16"/>
      <c r="C93" s="16"/>
      <c r="D93" s="16"/>
      <c r="E93" s="16"/>
      <c r="F93" s="16" t="s">
        <v>73</v>
      </c>
      <c r="G93" s="16"/>
      <c r="H93" s="24">
        <v>966</v>
      </c>
    </row>
    <row r="94" spans="1:8" x14ac:dyDescent="0.25">
      <c r="A94" s="16"/>
      <c r="B94" s="16"/>
      <c r="C94" s="16"/>
      <c r="D94" s="16"/>
      <c r="E94" s="16"/>
      <c r="F94" s="16" t="s">
        <v>74</v>
      </c>
      <c r="G94" s="16"/>
      <c r="H94" s="24">
        <v>500</v>
      </c>
    </row>
    <row r="95" spans="1:8" x14ac:dyDescent="0.25">
      <c r="A95" s="16"/>
      <c r="B95" s="16"/>
      <c r="C95" s="16"/>
      <c r="D95" s="16"/>
      <c r="E95" s="16"/>
      <c r="F95" s="16" t="s">
        <v>78</v>
      </c>
      <c r="G95" s="16"/>
      <c r="H95" s="24">
        <v>10254.35</v>
      </c>
    </row>
    <row r="96" spans="1:8" x14ac:dyDescent="0.25">
      <c r="A96" s="16"/>
      <c r="B96" s="16"/>
      <c r="C96" s="16"/>
      <c r="D96" s="16"/>
      <c r="E96" s="16"/>
      <c r="F96" s="16" t="s">
        <v>80</v>
      </c>
      <c r="G96" s="16"/>
      <c r="H96" s="24">
        <v>15346</v>
      </c>
    </row>
    <row r="97" spans="1:10" ht="15.75" thickBot="1" x14ac:dyDescent="0.3">
      <c r="A97" s="16"/>
      <c r="B97" s="16"/>
      <c r="C97" s="16"/>
      <c r="D97" s="16"/>
      <c r="E97" s="16"/>
      <c r="F97" s="16" t="s">
        <v>81</v>
      </c>
      <c r="G97" s="16"/>
      <c r="H97" s="28">
        <v>1250</v>
      </c>
    </row>
    <row r="98" spans="1:10" x14ac:dyDescent="0.25">
      <c r="A98" s="16"/>
      <c r="B98" s="16"/>
      <c r="C98" s="16"/>
      <c r="D98" s="16"/>
      <c r="E98" s="16" t="s">
        <v>83</v>
      </c>
      <c r="F98" s="16"/>
      <c r="G98" s="16"/>
      <c r="H98" s="24">
        <f>ROUND(SUM(H76:H97),5)</f>
        <v>54278.22</v>
      </c>
      <c r="I98" s="35"/>
      <c r="J98" s="35"/>
    </row>
    <row r="99" spans="1:10" x14ac:dyDescent="0.25">
      <c r="A99" s="16"/>
      <c r="B99" s="16"/>
      <c r="C99" s="16"/>
      <c r="D99" s="16"/>
      <c r="E99" s="16" t="s">
        <v>84</v>
      </c>
      <c r="F99" s="16"/>
      <c r="G99" s="16"/>
      <c r="H99" s="24"/>
    </row>
    <row r="100" spans="1:10" x14ac:dyDescent="0.25">
      <c r="A100" s="16"/>
      <c r="B100" s="16"/>
      <c r="C100" s="16"/>
      <c r="D100" s="16"/>
      <c r="E100" s="16"/>
      <c r="F100" s="16" t="s">
        <v>86</v>
      </c>
      <c r="G100" s="16"/>
      <c r="H100" s="24">
        <v>3905.01</v>
      </c>
    </row>
    <row r="101" spans="1:10" x14ac:dyDescent="0.25">
      <c r="A101" s="16"/>
      <c r="B101" s="16"/>
      <c r="C101" s="16"/>
      <c r="D101" s="16"/>
      <c r="E101" s="16"/>
      <c r="F101" s="16" t="s">
        <v>89</v>
      </c>
      <c r="G101" s="16"/>
      <c r="H101" s="24">
        <v>5303.09</v>
      </c>
    </row>
    <row r="102" spans="1:10" x14ac:dyDescent="0.25">
      <c r="A102" s="16"/>
      <c r="B102" s="16"/>
      <c r="C102" s="16"/>
      <c r="D102" s="16"/>
      <c r="E102" s="16"/>
      <c r="F102" s="16" t="s">
        <v>91</v>
      </c>
      <c r="G102" s="16"/>
      <c r="H102" s="24">
        <v>1922.5</v>
      </c>
    </row>
    <row r="103" spans="1:10" x14ac:dyDescent="0.25">
      <c r="A103" s="16"/>
      <c r="B103" s="16"/>
      <c r="C103" s="16"/>
      <c r="D103" s="16"/>
      <c r="E103" s="16"/>
      <c r="F103" s="16" t="s">
        <v>93</v>
      </c>
      <c r="G103" s="16"/>
      <c r="H103" s="24">
        <v>158</v>
      </c>
    </row>
    <row r="104" spans="1:10" x14ac:dyDescent="0.25">
      <c r="A104" s="16"/>
      <c r="B104" s="16"/>
      <c r="C104" s="16"/>
      <c r="D104" s="16"/>
      <c r="E104" s="16"/>
      <c r="F104" s="16" t="s">
        <v>95</v>
      </c>
      <c r="G104" s="16"/>
      <c r="H104" s="24">
        <v>751.38</v>
      </c>
    </row>
    <row r="105" spans="1:10" x14ac:dyDescent="0.25">
      <c r="A105" s="16"/>
      <c r="B105" s="16"/>
      <c r="C105" s="16"/>
      <c r="D105" s="16"/>
      <c r="E105" s="16"/>
      <c r="F105" s="16" t="s">
        <v>96</v>
      </c>
      <c r="G105" s="16"/>
      <c r="H105" s="24">
        <v>216.78</v>
      </c>
    </row>
    <row r="106" spans="1:10" x14ac:dyDescent="0.25">
      <c r="A106" s="16"/>
      <c r="B106" s="16"/>
      <c r="C106" s="16"/>
      <c r="D106" s="16"/>
      <c r="E106" s="16"/>
      <c r="F106" s="16" t="s">
        <v>98</v>
      </c>
      <c r="G106" s="16"/>
      <c r="H106" s="24">
        <v>3575.01</v>
      </c>
    </row>
    <row r="107" spans="1:10" x14ac:dyDescent="0.25">
      <c r="A107" s="16"/>
      <c r="B107" s="16"/>
      <c r="C107" s="16"/>
      <c r="D107" s="16"/>
      <c r="E107" s="16"/>
      <c r="F107" s="16" t="s">
        <v>99</v>
      </c>
      <c r="G107" s="16"/>
      <c r="H107" s="24">
        <v>2410.67</v>
      </c>
    </row>
    <row r="108" spans="1:10" x14ac:dyDescent="0.25">
      <c r="A108" s="16"/>
      <c r="B108" s="16"/>
      <c r="C108" s="16"/>
      <c r="D108" s="16"/>
      <c r="E108" s="16"/>
      <c r="F108" s="16" t="s">
        <v>101</v>
      </c>
      <c r="G108" s="16"/>
      <c r="H108" s="24">
        <v>905.21</v>
      </c>
    </row>
    <row r="109" spans="1:10" ht="15.75" thickBot="1" x14ac:dyDescent="0.3">
      <c r="A109" s="16"/>
      <c r="B109" s="16"/>
      <c r="C109" s="16"/>
      <c r="D109" s="16"/>
      <c r="E109" s="16"/>
      <c r="F109" s="16" t="s">
        <v>103</v>
      </c>
      <c r="G109" s="16"/>
      <c r="H109" s="26">
        <v>2335.9499999999998</v>
      </c>
    </row>
    <row r="110" spans="1:10" ht="15.75" thickBot="1" x14ac:dyDescent="0.3">
      <c r="A110" s="16"/>
      <c r="B110" s="16"/>
      <c r="C110" s="16"/>
      <c r="D110" s="16"/>
      <c r="E110" s="16" t="s">
        <v>106</v>
      </c>
      <c r="F110" s="16"/>
      <c r="G110" s="16"/>
      <c r="H110" s="27">
        <f>ROUND(SUM(H99:H109),5)</f>
        <v>21483.599999999999</v>
      </c>
    </row>
    <row r="111" spans="1:10" x14ac:dyDescent="0.25">
      <c r="A111" s="16"/>
      <c r="B111" s="16"/>
      <c r="C111" s="16"/>
      <c r="D111" s="16" t="s">
        <v>164</v>
      </c>
      <c r="E111" s="16"/>
      <c r="F111" s="16"/>
      <c r="G111" s="16"/>
      <c r="H111" s="24">
        <f>ROUND(H27+H44+H61+H75+H98+H110,5)</f>
        <v>106306.51</v>
      </c>
    </row>
    <row r="112" spans="1:10" x14ac:dyDescent="0.25">
      <c r="A112" s="16"/>
      <c r="B112" s="16"/>
      <c r="C112" s="16"/>
      <c r="D112" s="16" t="s">
        <v>128</v>
      </c>
      <c r="E112" s="16"/>
      <c r="F112" s="16"/>
      <c r="G112" s="16"/>
      <c r="H112" s="24"/>
    </row>
    <row r="113" spans="1:8" x14ac:dyDescent="0.25">
      <c r="A113" s="16"/>
      <c r="B113" s="16"/>
      <c r="C113" s="16"/>
      <c r="D113" s="16"/>
      <c r="F113" s="16" t="s">
        <v>123</v>
      </c>
      <c r="G113" s="16"/>
      <c r="H113" s="24">
        <v>3102.15</v>
      </c>
    </row>
    <row r="114" spans="1:8" x14ac:dyDescent="0.25">
      <c r="A114" s="16"/>
      <c r="B114" s="16"/>
      <c r="C114" s="16"/>
      <c r="D114" s="16"/>
      <c r="F114" s="16" t="s">
        <v>124</v>
      </c>
      <c r="G114" s="16"/>
      <c r="H114" s="24">
        <v>290</v>
      </c>
    </row>
    <row r="115" spans="1:8" x14ac:dyDescent="0.25">
      <c r="A115" s="16"/>
      <c r="B115" s="16"/>
      <c r="C115" s="16"/>
      <c r="D115" s="16"/>
      <c r="F115" s="16" t="s">
        <v>125</v>
      </c>
      <c r="G115" s="16"/>
      <c r="H115" s="24">
        <v>165.72</v>
      </c>
    </row>
    <row r="116" spans="1:8" x14ac:dyDescent="0.25">
      <c r="A116" s="16"/>
      <c r="B116" s="16"/>
      <c r="C116" s="16"/>
      <c r="D116" s="16"/>
      <c r="F116" s="16" t="s">
        <v>126</v>
      </c>
      <c r="G116" s="16"/>
      <c r="H116" s="24">
        <v>25166.76</v>
      </c>
    </row>
    <row r="117" spans="1:8" ht="15.75" thickBot="1" x14ac:dyDescent="0.3">
      <c r="A117" s="16"/>
      <c r="B117" s="16"/>
      <c r="C117" s="16"/>
      <c r="D117" s="16"/>
      <c r="F117" s="16" t="s">
        <v>127</v>
      </c>
      <c r="G117" s="16"/>
      <c r="H117" s="28">
        <v>25265.32</v>
      </c>
    </row>
    <row r="118" spans="1:8" x14ac:dyDescent="0.25">
      <c r="A118" s="16"/>
      <c r="B118" s="16"/>
      <c r="C118" s="16"/>
      <c r="D118" s="16" t="s">
        <v>165</v>
      </c>
      <c r="E118" s="16"/>
      <c r="F118" s="16"/>
      <c r="G118" s="16"/>
      <c r="H118" s="24">
        <f>ROUND(SUM(H112:H117),5)</f>
        <v>53989.95</v>
      </c>
    </row>
    <row r="119" spans="1:8" x14ac:dyDescent="0.25">
      <c r="A119" s="16"/>
      <c r="B119" s="16"/>
      <c r="C119" s="16"/>
      <c r="D119" s="16" t="s">
        <v>107</v>
      </c>
      <c r="E119" s="16"/>
      <c r="F119" s="16"/>
      <c r="G119" s="16"/>
      <c r="H119" s="24"/>
    </row>
    <row r="120" spans="1:8" ht="15.75" thickBot="1" x14ac:dyDescent="0.3">
      <c r="A120" s="16"/>
      <c r="B120" s="16"/>
      <c r="C120" s="16"/>
      <c r="D120" s="16"/>
      <c r="F120" s="16" t="s">
        <v>108</v>
      </c>
      <c r="G120" s="16"/>
      <c r="H120" s="28">
        <v>4385.25</v>
      </c>
    </row>
    <row r="121" spans="1:8" x14ac:dyDescent="0.25">
      <c r="A121" s="16"/>
      <c r="B121" s="16"/>
      <c r="C121" s="16"/>
      <c r="D121" s="16" t="s">
        <v>110</v>
      </c>
      <c r="E121" s="16"/>
      <c r="F121" s="16"/>
      <c r="G121" s="16"/>
      <c r="H121" s="24">
        <f>ROUND(SUM(H119:H120),5)</f>
        <v>4385.25</v>
      </c>
    </row>
    <row r="122" spans="1:8" x14ac:dyDescent="0.25">
      <c r="A122" s="16"/>
      <c r="B122" s="16"/>
      <c r="C122" s="16"/>
      <c r="E122" s="16"/>
      <c r="F122" s="16" t="s">
        <v>166</v>
      </c>
      <c r="G122" s="16"/>
      <c r="H122" s="24">
        <v>13</v>
      </c>
    </row>
    <row r="123" spans="1:8" ht="15.75" thickBot="1" x14ac:dyDescent="0.3">
      <c r="A123" s="16"/>
      <c r="B123" s="16"/>
      <c r="C123" s="16"/>
      <c r="E123" s="16"/>
      <c r="F123" s="16" t="s">
        <v>167</v>
      </c>
      <c r="G123" s="16"/>
      <c r="H123" s="26">
        <v>46803.41</v>
      </c>
    </row>
    <row r="124" spans="1:8" ht="15.75" thickBot="1" x14ac:dyDescent="0.3">
      <c r="A124" s="16"/>
      <c r="B124" s="16"/>
      <c r="C124" s="16" t="s">
        <v>164</v>
      </c>
      <c r="D124" s="16"/>
      <c r="E124" s="16"/>
      <c r="F124" s="16"/>
      <c r="G124" s="16"/>
      <c r="H124" s="29">
        <f>ROUND(H26+H111+H118+SUM(H121:H123),5)</f>
        <v>211498.12</v>
      </c>
    </row>
    <row r="125" spans="1:8" ht="15.75" thickBot="1" x14ac:dyDescent="0.3">
      <c r="A125" s="16" t="s">
        <v>168</v>
      </c>
      <c r="B125" s="16"/>
      <c r="C125" s="16"/>
      <c r="D125" s="16"/>
      <c r="E125" s="16"/>
      <c r="F125" s="16"/>
      <c r="G125" s="16"/>
      <c r="H125" s="29">
        <f>ROUND(H3+H25-H124,5)</f>
        <v>136017.17000000001</v>
      </c>
    </row>
    <row r="126" spans="1:8" ht="15.75" thickBot="1" x14ac:dyDescent="0.3">
      <c r="A126" s="16"/>
      <c r="B126" s="16"/>
      <c r="C126" s="16"/>
      <c r="D126" s="16"/>
      <c r="E126" s="16"/>
      <c r="F126" s="16"/>
      <c r="G126" s="16"/>
      <c r="H126" s="30">
        <f>H125</f>
        <v>136017.17000000001</v>
      </c>
    </row>
    <row r="127" spans="1:8" ht="15.75" thickTop="1" x14ac:dyDescent="0.25"/>
  </sheetData>
  <pageMargins left="0.7" right="0.7" top="0.75" bottom="0.75" header="0.3" footer="0.3"/>
  <pageSetup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R50"/>
  <sheetViews>
    <sheetView workbookViewId="0">
      <pane xSplit="2" ySplit="2" topLeftCell="G3" activePane="bottomRight" state="frozen"/>
      <selection activeCell="G29" sqref="G29"/>
      <selection pane="topRight" activeCell="G29" sqref="G29"/>
      <selection pane="bottomLeft" activeCell="G29" sqref="G29"/>
      <selection pane="bottomRight" activeCell="G29" sqref="G29"/>
    </sheetView>
  </sheetViews>
  <sheetFormatPr defaultRowHeight="15" x14ac:dyDescent="0.25"/>
  <cols>
    <col min="2" max="2" width="32.42578125" bestFit="1" customWidth="1"/>
    <col min="3" max="3" width="12.7109375" bestFit="1" customWidth="1"/>
    <col min="4" max="5" width="9.28515625" bestFit="1" customWidth="1"/>
    <col min="6" max="6" width="10.7109375" bestFit="1" customWidth="1"/>
    <col min="7" max="8" width="10.42578125" bestFit="1" customWidth="1"/>
    <col min="9" max="9" width="11.5703125" bestFit="1" customWidth="1"/>
    <col min="10" max="10" width="10.42578125" bestFit="1" customWidth="1"/>
    <col min="11" max="11" width="9.28515625" bestFit="1" customWidth="1"/>
    <col min="12" max="12" width="11.5703125" bestFit="1" customWidth="1"/>
    <col min="13" max="14" width="11.7109375" bestFit="1" customWidth="1"/>
    <col min="15" max="15" width="12.7109375" bestFit="1" customWidth="1"/>
    <col min="16" max="17" width="11.5703125" bestFit="1" customWidth="1"/>
  </cols>
  <sheetData>
    <row r="1" spans="1:18" x14ac:dyDescent="0.25">
      <c r="A1" s="51">
        <f>'Master Input Tab'!B3</f>
        <v>1.4999999999999999E-2</v>
      </c>
      <c r="K1" t="s">
        <v>170</v>
      </c>
      <c r="M1" s="90" t="s">
        <v>132</v>
      </c>
      <c r="N1" s="91"/>
      <c r="O1" s="91"/>
      <c r="P1" s="91"/>
      <c r="Q1" s="92"/>
      <c r="R1" s="8" t="s">
        <v>134</v>
      </c>
    </row>
    <row r="2" spans="1:18" ht="15.75" thickBot="1" x14ac:dyDescent="0.3">
      <c r="A2" s="52">
        <f>'Master Input Tab'!B4</f>
        <v>0.03</v>
      </c>
      <c r="C2" s="5">
        <v>2005</v>
      </c>
      <c r="D2" s="6">
        <v>2006</v>
      </c>
      <c r="E2" s="6">
        <v>2007</v>
      </c>
      <c r="F2" s="6">
        <v>2008</v>
      </c>
      <c r="G2" s="6">
        <v>2009</v>
      </c>
      <c r="H2" s="6">
        <v>2010</v>
      </c>
      <c r="I2" s="6">
        <v>2011</v>
      </c>
      <c r="J2" s="6">
        <v>2012</v>
      </c>
      <c r="K2" s="6">
        <v>2013</v>
      </c>
      <c r="L2" s="6" t="s">
        <v>171</v>
      </c>
      <c r="M2" s="81" t="str">
        <f>'Total Summary'!$H$4</f>
        <v>2014</v>
      </c>
      <c r="N2" s="81">
        <f>'Total Summary'!$I$4</f>
        <v>2015</v>
      </c>
      <c r="O2" s="81">
        <f>'Total Summary'!$J$4</f>
        <v>2016</v>
      </c>
      <c r="P2" s="81">
        <f>'Total Summary'!$K$4</f>
        <v>2017</v>
      </c>
      <c r="Q2" s="81">
        <f>'Total Summary'!$L$4</f>
        <v>2018</v>
      </c>
    </row>
    <row r="3" spans="1:18" x14ac:dyDescent="0.25">
      <c r="A3" s="1" t="s">
        <v>175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8" x14ac:dyDescent="0.25">
      <c r="A4" s="1"/>
      <c r="B4" s="16" t="s">
        <v>139</v>
      </c>
      <c r="C4" s="2"/>
      <c r="D4" s="2"/>
      <c r="E4" s="2"/>
      <c r="F4" s="2"/>
      <c r="G4" s="2"/>
      <c r="H4" s="2"/>
      <c r="I4" s="2"/>
      <c r="J4" s="2">
        <f>+K4/226.75</f>
        <v>1557.0007276736494</v>
      </c>
      <c r="K4" s="2">
        <f>VLOOKUP(B4,Summary!F:H,3,FALSE)/8*12</f>
        <v>353049.91499999998</v>
      </c>
      <c r="L4" s="2">
        <f>SUM(C4:K4)/10</f>
        <v>35460.691572767362</v>
      </c>
      <c r="M4" s="49">
        <f>'Master Input Tab'!$B$16*'Master Input Tab'!$B$11</f>
        <v>247412.59374999997</v>
      </c>
      <c r="N4" s="49">
        <f>M4*(1+$A$1)</f>
        <v>251123.78265624994</v>
      </c>
      <c r="O4" s="49">
        <f t="shared" ref="O4:Q6" si="0">N4*(1+$A$1)</f>
        <v>254890.63939609367</v>
      </c>
      <c r="P4" s="49">
        <f t="shared" si="0"/>
        <v>258713.99898703504</v>
      </c>
      <c r="Q4" s="49">
        <f t="shared" si="0"/>
        <v>262594.70897184056</v>
      </c>
      <c r="R4" s="11"/>
    </row>
    <row r="5" spans="1:18" x14ac:dyDescent="0.25">
      <c r="A5" s="1"/>
      <c r="B5" s="16" t="s">
        <v>140</v>
      </c>
      <c r="C5" s="2"/>
      <c r="D5" s="2"/>
      <c r="E5" s="2"/>
      <c r="F5" s="2"/>
      <c r="G5" s="2"/>
      <c r="H5" s="2"/>
      <c r="I5" s="2"/>
      <c r="J5" s="2"/>
      <c r="K5" s="2">
        <f>VLOOKUP(B5,Summary!F:H,3,FALSE)/8*12</f>
        <v>2250</v>
      </c>
      <c r="L5" s="2">
        <f t="shared" ref="L5:L22" si="1">SUM(C5:K5)/10</f>
        <v>225</v>
      </c>
      <c r="M5" s="44">
        <v>2250</v>
      </c>
      <c r="N5" s="49">
        <f>M5</f>
        <v>2250</v>
      </c>
      <c r="O5" s="49">
        <f t="shared" ref="O5:Q5" si="2">N5</f>
        <v>2250</v>
      </c>
      <c r="P5" s="49">
        <f t="shared" si="2"/>
        <v>2250</v>
      </c>
      <c r="Q5" s="49">
        <f t="shared" si="2"/>
        <v>2250</v>
      </c>
      <c r="R5" s="11"/>
    </row>
    <row r="6" spans="1:18" x14ac:dyDescent="0.25">
      <c r="A6" s="1"/>
      <c r="B6" s="16" t="s">
        <v>141</v>
      </c>
      <c r="C6" s="2"/>
      <c r="D6" s="2"/>
      <c r="E6" s="2"/>
      <c r="F6" s="2"/>
      <c r="G6" s="2"/>
      <c r="H6" s="2"/>
      <c r="I6" s="2"/>
      <c r="J6" s="2"/>
      <c r="K6" s="2">
        <f>VLOOKUP(B6,Summary!F:H,3,FALSE)/8*12</f>
        <v>78012.180000000008</v>
      </c>
      <c r="L6" s="2">
        <f t="shared" si="1"/>
        <v>7801.2180000000008</v>
      </c>
      <c r="M6" s="49">
        <f>+'Master Input Tab'!$B$17*'Master Input Tab'!$B$10</f>
        <v>52306.157399999996</v>
      </c>
      <c r="N6" s="49">
        <f>M6*(1+$A$1)</f>
        <v>53090.749760999992</v>
      </c>
      <c r="O6" s="49">
        <f t="shared" si="0"/>
        <v>53887.111007414984</v>
      </c>
      <c r="P6" s="49">
        <f t="shared" si="0"/>
        <v>54695.4176725262</v>
      </c>
      <c r="Q6" s="49">
        <f t="shared" si="0"/>
        <v>55515.848937614086</v>
      </c>
      <c r="R6" s="11"/>
    </row>
    <row r="7" spans="1:18" x14ac:dyDescent="0.25">
      <c r="A7" s="1"/>
      <c r="B7" s="16" t="s">
        <v>142</v>
      </c>
      <c r="C7" s="2"/>
      <c r="D7" s="2"/>
      <c r="E7" s="2"/>
      <c r="F7" s="2"/>
      <c r="G7" s="2"/>
      <c r="H7" s="2"/>
      <c r="I7" s="2"/>
      <c r="J7" s="2"/>
      <c r="K7" s="2">
        <v>0</v>
      </c>
      <c r="L7" s="2">
        <f t="shared" si="1"/>
        <v>0</v>
      </c>
      <c r="M7" s="44">
        <v>0</v>
      </c>
      <c r="N7" s="49">
        <f>M7</f>
        <v>0</v>
      </c>
      <c r="O7" s="49">
        <f t="shared" ref="O7:Q7" si="3">N7</f>
        <v>0</v>
      </c>
      <c r="P7" s="49">
        <f t="shared" si="3"/>
        <v>0</v>
      </c>
      <c r="Q7" s="49">
        <f t="shared" si="3"/>
        <v>0</v>
      </c>
      <c r="R7" s="11"/>
    </row>
    <row r="8" spans="1:18" x14ac:dyDescent="0.25">
      <c r="A8" s="1"/>
      <c r="B8" s="16" t="s">
        <v>143</v>
      </c>
      <c r="C8" s="2"/>
      <c r="D8" s="2"/>
      <c r="E8" s="2"/>
      <c r="F8" s="2"/>
      <c r="G8" s="2"/>
      <c r="H8" s="2"/>
      <c r="I8" s="2"/>
      <c r="J8" s="2"/>
      <c r="K8" s="2">
        <f>VLOOKUP(B8,Summary!F:H,3,FALSE)/8*12</f>
        <v>-37.5</v>
      </c>
      <c r="L8" s="2">
        <f t="shared" si="1"/>
        <v>-3.75</v>
      </c>
      <c r="M8" s="44">
        <v>0</v>
      </c>
      <c r="N8" s="49">
        <f t="shared" ref="N8:Q8" si="4">M8</f>
        <v>0</v>
      </c>
      <c r="O8" s="49">
        <f t="shared" si="4"/>
        <v>0</v>
      </c>
      <c r="P8" s="49">
        <f t="shared" si="4"/>
        <v>0</v>
      </c>
      <c r="Q8" s="49">
        <f t="shared" si="4"/>
        <v>0</v>
      </c>
      <c r="R8" s="11"/>
    </row>
    <row r="9" spans="1:18" x14ac:dyDescent="0.25">
      <c r="A9" s="1"/>
      <c r="B9" s="16" t="s">
        <v>144</v>
      </c>
      <c r="C9" s="2"/>
      <c r="D9" s="2"/>
      <c r="E9" s="2"/>
      <c r="F9" s="2"/>
      <c r="G9" s="2"/>
      <c r="H9" s="2"/>
      <c r="I9" s="2"/>
      <c r="J9" s="2"/>
      <c r="K9" s="2">
        <f>VLOOKUP(B9,Summary!F:H,3,FALSE)/8*12</f>
        <v>180</v>
      </c>
      <c r="L9" s="2">
        <f t="shared" si="1"/>
        <v>18</v>
      </c>
      <c r="M9" s="44">
        <v>0</v>
      </c>
      <c r="N9" s="49">
        <f t="shared" ref="N9:Q9" si="5">M9</f>
        <v>0</v>
      </c>
      <c r="O9" s="49">
        <f t="shared" si="5"/>
        <v>0</v>
      </c>
      <c r="P9" s="49">
        <f t="shared" si="5"/>
        <v>0</v>
      </c>
      <c r="Q9" s="49">
        <f t="shared" si="5"/>
        <v>0</v>
      </c>
      <c r="R9" s="11"/>
    </row>
    <row r="10" spans="1:18" x14ac:dyDescent="0.25">
      <c r="A10" s="1"/>
      <c r="B10" s="16" t="s">
        <v>145</v>
      </c>
      <c r="C10" s="2"/>
      <c r="D10" s="2"/>
      <c r="E10" s="2"/>
      <c r="F10" s="2"/>
      <c r="G10" s="2"/>
      <c r="H10" s="2"/>
      <c r="I10" s="2"/>
      <c r="J10" s="2"/>
      <c r="K10" s="2">
        <f>VLOOKUP(B10,Summary!F:H,3,FALSE)/8*12</f>
        <v>1943.9549999999999</v>
      </c>
      <c r="L10" s="2">
        <f t="shared" si="1"/>
        <v>194.3955</v>
      </c>
      <c r="M10" s="44">
        <v>1250</v>
      </c>
      <c r="N10" s="49">
        <f>M10</f>
        <v>1250</v>
      </c>
      <c r="O10" s="49">
        <f t="shared" ref="O10:Q10" si="6">N10</f>
        <v>1250</v>
      </c>
      <c r="P10" s="49">
        <f t="shared" si="6"/>
        <v>1250</v>
      </c>
      <c r="Q10" s="49">
        <f t="shared" si="6"/>
        <v>1250</v>
      </c>
      <c r="R10" s="11"/>
    </row>
    <row r="11" spans="1:18" x14ac:dyDescent="0.25">
      <c r="A11" s="1"/>
      <c r="B11" s="16" t="s">
        <v>146</v>
      </c>
      <c r="C11" s="2"/>
      <c r="D11" s="2"/>
      <c r="E11" s="2"/>
      <c r="F11" s="2"/>
      <c r="G11" s="2"/>
      <c r="H11" s="2"/>
      <c r="I11" s="2"/>
      <c r="J11" s="2"/>
      <c r="K11" s="2">
        <f>VLOOKUP(B11,Summary!F:H,3,FALSE)/8*12</f>
        <v>7009.5</v>
      </c>
      <c r="L11" s="2">
        <f t="shared" si="1"/>
        <v>700.95</v>
      </c>
      <c r="M11" s="44">
        <v>4650</v>
      </c>
      <c r="N11" s="49">
        <f>M11</f>
        <v>4650</v>
      </c>
      <c r="O11" s="49">
        <f t="shared" ref="O11:Q11" si="7">N11</f>
        <v>4650</v>
      </c>
      <c r="P11" s="49">
        <f t="shared" si="7"/>
        <v>4650</v>
      </c>
      <c r="Q11" s="49">
        <f t="shared" si="7"/>
        <v>4650</v>
      </c>
      <c r="R11" s="11"/>
    </row>
    <row r="12" spans="1:18" x14ac:dyDescent="0.25">
      <c r="A12" s="1"/>
      <c r="B12" s="16" t="s">
        <v>147</v>
      </c>
      <c r="C12" s="2"/>
      <c r="D12" s="2"/>
      <c r="E12" s="2"/>
      <c r="F12" s="2"/>
      <c r="G12" s="2"/>
      <c r="H12" s="2"/>
      <c r="I12" s="2"/>
      <c r="J12" s="2"/>
      <c r="K12" s="2">
        <f>VLOOKUP(B12,Summary!F:H,3,FALSE)/8*12</f>
        <v>315</v>
      </c>
      <c r="L12" s="2">
        <f t="shared" si="1"/>
        <v>31.5</v>
      </c>
      <c r="M12" s="44">
        <v>300</v>
      </c>
      <c r="N12" s="49">
        <f t="shared" ref="N12:Q12" si="8">M12</f>
        <v>300</v>
      </c>
      <c r="O12" s="49">
        <f t="shared" si="8"/>
        <v>300</v>
      </c>
      <c r="P12" s="49">
        <f t="shared" si="8"/>
        <v>300</v>
      </c>
      <c r="Q12" s="49">
        <f t="shared" si="8"/>
        <v>300</v>
      </c>
      <c r="R12" s="11"/>
    </row>
    <row r="13" spans="1:18" x14ac:dyDescent="0.25">
      <c r="A13" s="1"/>
      <c r="B13" s="16" t="s">
        <v>148</v>
      </c>
      <c r="C13" s="2"/>
      <c r="D13" s="2"/>
      <c r="E13" s="2"/>
      <c r="F13" s="2"/>
      <c r="G13" s="2"/>
      <c r="H13" s="2"/>
      <c r="I13" s="2"/>
      <c r="J13" s="2"/>
      <c r="K13" s="2">
        <f>VLOOKUP(B13,Summary!F:H,3,FALSE)/8*12</f>
        <v>72252.884999999995</v>
      </c>
      <c r="L13" s="2">
        <f t="shared" si="1"/>
        <v>7225.2884999999997</v>
      </c>
      <c r="M13" s="44">
        <v>1000</v>
      </c>
      <c r="N13" s="49">
        <f t="shared" ref="N13:Q13" si="9">M13</f>
        <v>1000</v>
      </c>
      <c r="O13" s="49">
        <f t="shared" si="9"/>
        <v>1000</v>
      </c>
      <c r="P13" s="49">
        <f t="shared" si="9"/>
        <v>1000</v>
      </c>
      <c r="Q13" s="49">
        <f t="shared" si="9"/>
        <v>1000</v>
      </c>
      <c r="R13" s="11"/>
    </row>
    <row r="14" spans="1:18" x14ac:dyDescent="0.25">
      <c r="A14" s="1"/>
      <c r="B14" s="16" t="s">
        <v>149</v>
      </c>
      <c r="C14" s="2"/>
      <c r="D14" s="2"/>
      <c r="E14" s="2"/>
      <c r="F14" s="2"/>
      <c r="G14" s="2"/>
      <c r="H14" s="2"/>
      <c r="I14" s="2"/>
      <c r="J14" s="2"/>
      <c r="K14" s="2">
        <f>VLOOKUP(B14,Summary!F:H,3,FALSE)/8*12</f>
        <v>450</v>
      </c>
      <c r="L14" s="2">
        <f t="shared" si="1"/>
        <v>45</v>
      </c>
      <c r="M14" s="44">
        <v>0</v>
      </c>
      <c r="N14" s="49">
        <f t="shared" ref="N14:Q15" si="10">M14</f>
        <v>0</v>
      </c>
      <c r="O14" s="49">
        <f t="shared" si="10"/>
        <v>0</v>
      </c>
      <c r="P14" s="49">
        <f t="shared" si="10"/>
        <v>0</v>
      </c>
      <c r="Q14" s="49">
        <f t="shared" si="10"/>
        <v>0</v>
      </c>
      <c r="R14" s="11"/>
    </row>
    <row r="15" spans="1:18" x14ac:dyDescent="0.25">
      <c r="A15" s="1"/>
      <c r="B15" s="16" t="s">
        <v>150</v>
      </c>
      <c r="C15" s="2"/>
      <c r="D15" s="2"/>
      <c r="E15" s="2"/>
      <c r="F15" s="2"/>
      <c r="G15" s="2"/>
      <c r="H15" s="2"/>
      <c r="I15" s="2"/>
      <c r="J15" s="2"/>
      <c r="K15" s="2">
        <f>VLOOKUP(B15,Summary!F:H,3,FALSE)/8*12</f>
        <v>600</v>
      </c>
      <c r="L15" s="2">
        <f t="shared" si="1"/>
        <v>60</v>
      </c>
      <c r="M15" s="49">
        <v>600</v>
      </c>
      <c r="N15" s="49">
        <f t="shared" si="10"/>
        <v>600</v>
      </c>
      <c r="O15" s="49">
        <f t="shared" si="10"/>
        <v>600</v>
      </c>
      <c r="P15" s="49">
        <f t="shared" si="10"/>
        <v>600</v>
      </c>
      <c r="Q15" s="49">
        <f t="shared" si="10"/>
        <v>600</v>
      </c>
      <c r="R15" s="11"/>
    </row>
    <row r="16" spans="1:18" x14ac:dyDescent="0.25">
      <c r="A16" s="1"/>
      <c r="B16" s="16" t="s">
        <v>151</v>
      </c>
      <c r="C16" s="2"/>
      <c r="D16" s="2"/>
      <c r="E16" s="2"/>
      <c r="F16" s="2"/>
      <c r="G16" s="2"/>
      <c r="H16" s="2"/>
      <c r="I16" s="2"/>
      <c r="J16" s="2"/>
      <c r="K16" s="2">
        <f>VLOOKUP(B16,Summary!F:H,3,FALSE)/8*12</f>
        <v>3371.3250000000003</v>
      </c>
      <c r="L16" s="2">
        <f t="shared" si="1"/>
        <v>337.13250000000005</v>
      </c>
      <c r="M16" s="44">
        <f>ROUND(K16,0)</f>
        <v>3371</v>
      </c>
      <c r="N16" s="49">
        <f>M16</f>
        <v>3371</v>
      </c>
      <c r="O16" s="49">
        <f t="shared" ref="O16:Q16" si="11">N16</f>
        <v>3371</v>
      </c>
      <c r="P16" s="49">
        <f t="shared" si="11"/>
        <v>3371</v>
      </c>
      <c r="Q16" s="49">
        <f t="shared" si="11"/>
        <v>3371</v>
      </c>
      <c r="R16" s="11"/>
    </row>
    <row r="17" spans="1:18" x14ac:dyDescent="0.25">
      <c r="A17" s="1"/>
      <c r="B17" s="16" t="s">
        <v>152</v>
      </c>
      <c r="C17" s="2"/>
      <c r="D17" s="2"/>
      <c r="E17" s="2"/>
      <c r="F17" s="2"/>
      <c r="G17" s="2"/>
      <c r="H17" s="2"/>
      <c r="I17" s="2"/>
      <c r="J17" s="2"/>
      <c r="K17" s="2">
        <v>0</v>
      </c>
      <c r="L17" s="2">
        <f t="shared" si="1"/>
        <v>0</v>
      </c>
      <c r="M17" s="49">
        <f>+'Master Input Tab'!$B$18*'Master Input Tab'!$B$10</f>
        <v>40267.01909999999</v>
      </c>
      <c r="N17" s="49">
        <f>M17*(1+$A$1)</f>
        <v>40871.024386499987</v>
      </c>
      <c r="O17" s="49">
        <f t="shared" ref="O17:Q17" si="12">N17*(1+$A$1)</f>
        <v>41484.089752297485</v>
      </c>
      <c r="P17" s="49">
        <f t="shared" si="12"/>
        <v>42106.351098581945</v>
      </c>
      <c r="Q17" s="49">
        <f t="shared" si="12"/>
        <v>42737.94636506067</v>
      </c>
      <c r="R17" s="11"/>
    </row>
    <row r="18" spans="1:18" x14ac:dyDescent="0.25">
      <c r="A18" s="1"/>
      <c r="B18" s="16" t="s">
        <v>153</v>
      </c>
      <c r="C18" s="2"/>
      <c r="D18" s="2"/>
      <c r="E18" s="2"/>
      <c r="F18" s="2"/>
      <c r="G18" s="2"/>
      <c r="H18" s="2"/>
      <c r="I18" s="2"/>
      <c r="J18" s="2"/>
      <c r="K18" s="2">
        <v>0</v>
      </c>
      <c r="L18" s="2">
        <f t="shared" si="1"/>
        <v>0</v>
      </c>
      <c r="M18" s="44">
        <v>80</v>
      </c>
      <c r="N18" s="49">
        <f t="shared" ref="N18:Q19" si="13">M18</f>
        <v>80</v>
      </c>
      <c r="O18" s="49">
        <f t="shared" si="13"/>
        <v>80</v>
      </c>
      <c r="P18" s="49">
        <f t="shared" si="13"/>
        <v>80</v>
      </c>
      <c r="Q18" s="49">
        <f t="shared" si="13"/>
        <v>80</v>
      </c>
      <c r="R18" s="11"/>
    </row>
    <row r="19" spans="1:18" x14ac:dyDescent="0.25">
      <c r="A19" s="1"/>
      <c r="B19" s="16" t="s">
        <v>154</v>
      </c>
      <c r="C19" s="2"/>
      <c r="D19" s="2"/>
      <c r="E19" s="2"/>
      <c r="F19" s="2"/>
      <c r="G19" s="2"/>
      <c r="H19" s="2"/>
      <c r="I19" s="2"/>
      <c r="J19" s="2"/>
      <c r="K19" s="2">
        <v>0</v>
      </c>
      <c r="L19" s="2">
        <f t="shared" si="1"/>
        <v>0</v>
      </c>
      <c r="M19" s="44">
        <v>0</v>
      </c>
      <c r="N19" s="49">
        <f t="shared" si="13"/>
        <v>0</v>
      </c>
      <c r="O19" s="49">
        <f t="shared" si="13"/>
        <v>0</v>
      </c>
      <c r="P19" s="49">
        <f t="shared" si="13"/>
        <v>0</v>
      </c>
      <c r="Q19" s="49">
        <f t="shared" si="13"/>
        <v>0</v>
      </c>
      <c r="R19" s="11"/>
    </row>
    <row r="20" spans="1:18" x14ac:dyDescent="0.25">
      <c r="A20" s="1"/>
      <c r="B20" s="16" t="s">
        <v>155</v>
      </c>
      <c r="C20" s="2"/>
      <c r="D20" s="2"/>
      <c r="E20" s="2"/>
      <c r="F20" s="2"/>
      <c r="G20" s="2"/>
      <c r="H20" s="2"/>
      <c r="I20" s="2"/>
      <c r="J20" s="2"/>
      <c r="K20" s="2">
        <f>VLOOKUP(B20,Summary!F:H,3,FALSE)/8*12</f>
        <v>446.56499999999994</v>
      </c>
      <c r="L20" s="2">
        <f t="shared" si="1"/>
        <v>44.656499999999994</v>
      </c>
      <c r="M20" s="44">
        <f>ROUND((113000+M17-Conservation!$O$23)*'Master Input Tab'!$H$39,0)</f>
        <v>312</v>
      </c>
      <c r="N20" s="49">
        <f>ROUND((113000+N17-Conservation!$O$23)*'Master Input Tab'!$H$39,0)</f>
        <v>313</v>
      </c>
      <c r="O20" s="49">
        <f>ROUND((113000+O17-Conservation!$O$23)*'Master Input Tab'!$H$39,0)</f>
        <v>315</v>
      </c>
      <c r="P20" s="49">
        <f>ROUND((113000+P17-Conservation!$O$23)*'Master Input Tab'!$H$39,0)</f>
        <v>316</v>
      </c>
      <c r="Q20" s="49">
        <f>ROUND((113000+Q17-Conservation!$O$23)*'Master Input Tab'!$H$39,0)</f>
        <v>318</v>
      </c>
      <c r="R20" s="11"/>
    </row>
    <row r="21" spans="1:18" x14ac:dyDescent="0.25">
      <c r="A21" s="1"/>
      <c r="B21" s="16" t="s">
        <v>156</v>
      </c>
      <c r="C21" s="2"/>
      <c r="D21" s="2"/>
      <c r="E21" s="2"/>
      <c r="F21" s="2"/>
      <c r="G21" s="2"/>
      <c r="H21" s="2"/>
      <c r="I21" s="2"/>
      <c r="J21" s="2"/>
      <c r="K21" s="2">
        <v>0</v>
      </c>
      <c r="L21" s="2">
        <f t="shared" si="1"/>
        <v>0</v>
      </c>
      <c r="M21" s="44">
        <v>0</v>
      </c>
      <c r="N21" s="49">
        <f t="shared" ref="N21:Q22" si="14">M21</f>
        <v>0</v>
      </c>
      <c r="O21" s="49">
        <f t="shared" si="14"/>
        <v>0</v>
      </c>
      <c r="P21" s="49">
        <f t="shared" si="14"/>
        <v>0</v>
      </c>
      <c r="Q21" s="49">
        <f t="shared" si="14"/>
        <v>0</v>
      </c>
      <c r="R21" s="11"/>
    </row>
    <row r="22" spans="1:18" ht="15.75" thickBot="1" x14ac:dyDescent="0.3">
      <c r="A22" s="1"/>
      <c r="B22" s="16" t="s">
        <v>157</v>
      </c>
      <c r="C22" s="2"/>
      <c r="D22" s="2"/>
      <c r="E22" s="2"/>
      <c r="F22" s="2"/>
      <c r="G22" s="2"/>
      <c r="H22" s="2"/>
      <c r="I22" s="2"/>
      <c r="J22" s="2"/>
      <c r="K22" s="2">
        <f>VLOOKUP(B22,Summary!F:H,3,FALSE)/8*12</f>
        <v>1.395</v>
      </c>
      <c r="L22" s="2">
        <f t="shared" si="1"/>
        <v>0.13950000000000001</v>
      </c>
      <c r="M22" s="44">
        <v>0</v>
      </c>
      <c r="N22" s="49">
        <f t="shared" si="14"/>
        <v>0</v>
      </c>
      <c r="O22" s="49">
        <f t="shared" si="14"/>
        <v>0</v>
      </c>
      <c r="P22" s="49">
        <f t="shared" si="14"/>
        <v>0</v>
      </c>
      <c r="Q22" s="49">
        <f t="shared" si="14"/>
        <v>0</v>
      </c>
      <c r="R22" s="11"/>
    </row>
    <row r="23" spans="1:18" ht="15.75" thickBot="1" x14ac:dyDescent="0.3">
      <c r="A23" s="1" t="s">
        <v>176</v>
      </c>
      <c r="B23" s="1"/>
      <c r="C23" s="7">
        <f t="shared" ref="C23:Q23" si="15">ROUND(SUM(C3:C22),5)</f>
        <v>0</v>
      </c>
      <c r="D23" s="7">
        <f t="shared" si="15"/>
        <v>0</v>
      </c>
      <c r="E23" s="7">
        <f t="shared" si="15"/>
        <v>0</v>
      </c>
      <c r="F23" s="7">
        <f t="shared" si="15"/>
        <v>0</v>
      </c>
      <c r="G23" s="7">
        <f t="shared" si="15"/>
        <v>0</v>
      </c>
      <c r="H23" s="7">
        <f t="shared" si="15"/>
        <v>0</v>
      </c>
      <c r="I23" s="7">
        <f t="shared" si="15"/>
        <v>0</v>
      </c>
      <c r="J23" s="7">
        <f t="shared" si="15"/>
        <v>1557.00073</v>
      </c>
      <c r="K23" s="7">
        <f t="shared" si="15"/>
        <v>519845.22</v>
      </c>
      <c r="L23" s="7">
        <f t="shared" si="15"/>
        <v>52140.222070000003</v>
      </c>
      <c r="M23" s="7">
        <f t="shared" si="15"/>
        <v>353798.77025</v>
      </c>
      <c r="N23" s="7">
        <f t="shared" si="15"/>
        <v>358899.55680000002</v>
      </c>
      <c r="O23" s="7">
        <f t="shared" si="15"/>
        <v>364077.84016000002</v>
      </c>
      <c r="P23" s="7">
        <f t="shared" si="15"/>
        <v>369332.76776000002</v>
      </c>
      <c r="Q23" s="7">
        <f t="shared" si="15"/>
        <v>374667.50426999998</v>
      </c>
    </row>
    <row r="24" spans="1:18" ht="15.75" thickTop="1" x14ac:dyDescent="0.25"/>
    <row r="27" spans="1:18" x14ac:dyDescent="0.25">
      <c r="A27" s="8" t="s">
        <v>133</v>
      </c>
      <c r="B27" s="8"/>
    </row>
    <row r="28" spans="1:18" x14ac:dyDescent="0.25">
      <c r="A28" s="10"/>
      <c r="C28" t="s">
        <v>120</v>
      </c>
      <c r="D28" t="s">
        <v>121</v>
      </c>
      <c r="E28" t="s">
        <v>122</v>
      </c>
      <c r="F28" t="s">
        <v>129</v>
      </c>
      <c r="G28" t="s">
        <v>130</v>
      </c>
      <c r="H28" t="s">
        <v>31</v>
      </c>
      <c r="I28" t="s">
        <v>24</v>
      </c>
      <c r="J28" t="s">
        <v>26</v>
      </c>
      <c r="K28" t="s">
        <v>27</v>
      </c>
      <c r="L28" t="s">
        <v>25</v>
      </c>
      <c r="M28" t="s">
        <v>28</v>
      </c>
      <c r="N28" t="s">
        <v>29</v>
      </c>
      <c r="O28" t="s">
        <v>30</v>
      </c>
      <c r="P28" t="s">
        <v>131</v>
      </c>
    </row>
    <row r="29" spans="1:18" x14ac:dyDescent="0.25">
      <c r="A29" s="1" t="s">
        <v>178</v>
      </c>
      <c r="B29" s="1"/>
    </row>
    <row r="30" spans="1:18" x14ac:dyDescent="0.25">
      <c r="A30" s="1"/>
      <c r="B30" s="16" t="s">
        <v>139</v>
      </c>
      <c r="C30" s="46">
        <f>M4</f>
        <v>247412.59374999997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3">
        <f t="shared" ref="O30:O48" si="16">SUM(C30:N30)</f>
        <v>247412.59374999997</v>
      </c>
      <c r="P30" s="12">
        <f t="shared" ref="P30:P48" si="17">+O30-M4</f>
        <v>0</v>
      </c>
    </row>
    <row r="31" spans="1:18" x14ac:dyDescent="0.25">
      <c r="A31" s="1"/>
      <c r="B31" s="16" t="s">
        <v>140</v>
      </c>
      <c r="C31" s="46">
        <f>$M$5/12</f>
        <v>187.5</v>
      </c>
      <c r="D31" s="46">
        <f t="shared" ref="D31:N31" si="18">$M$5/12</f>
        <v>187.5</v>
      </c>
      <c r="E31" s="46">
        <f t="shared" si="18"/>
        <v>187.5</v>
      </c>
      <c r="F31" s="46">
        <f t="shared" si="18"/>
        <v>187.5</v>
      </c>
      <c r="G31" s="46">
        <f t="shared" si="18"/>
        <v>187.5</v>
      </c>
      <c r="H31" s="46">
        <f t="shared" si="18"/>
        <v>187.5</v>
      </c>
      <c r="I31" s="46">
        <f t="shared" si="18"/>
        <v>187.5</v>
      </c>
      <c r="J31" s="46">
        <f t="shared" si="18"/>
        <v>187.5</v>
      </c>
      <c r="K31" s="46">
        <f t="shared" si="18"/>
        <v>187.5</v>
      </c>
      <c r="L31" s="46">
        <f t="shared" si="18"/>
        <v>187.5</v>
      </c>
      <c r="M31" s="46">
        <f t="shared" si="18"/>
        <v>187.5</v>
      </c>
      <c r="N31" s="46">
        <f t="shared" si="18"/>
        <v>187.5</v>
      </c>
      <c r="O31" s="43">
        <f t="shared" si="16"/>
        <v>2250</v>
      </c>
      <c r="P31" s="12">
        <f t="shared" si="17"/>
        <v>0</v>
      </c>
    </row>
    <row r="32" spans="1:18" x14ac:dyDescent="0.25">
      <c r="A32" s="1"/>
      <c r="B32" s="16" t="s">
        <v>141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f>M6</f>
        <v>52306.157399999996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3">
        <f t="shared" si="16"/>
        <v>52306.157399999996</v>
      </c>
      <c r="P32" s="12">
        <f t="shared" si="17"/>
        <v>0</v>
      </c>
    </row>
    <row r="33" spans="1:16" x14ac:dyDescent="0.25">
      <c r="A33" s="1"/>
      <c r="B33" s="16" t="s">
        <v>142</v>
      </c>
      <c r="C33" s="46">
        <f t="shared" ref="C33:N48" si="19">M7/12</f>
        <v>0</v>
      </c>
      <c r="D33" s="46">
        <f t="shared" si="19"/>
        <v>0</v>
      </c>
      <c r="E33" s="46">
        <f t="shared" si="19"/>
        <v>0</v>
      </c>
      <c r="F33" s="46">
        <f t="shared" si="19"/>
        <v>0</v>
      </c>
      <c r="G33" s="46">
        <f t="shared" si="19"/>
        <v>0</v>
      </c>
      <c r="H33" s="46">
        <f t="shared" si="19"/>
        <v>0</v>
      </c>
      <c r="I33" s="46">
        <f t="shared" si="19"/>
        <v>0</v>
      </c>
      <c r="J33" s="46">
        <f t="shared" si="19"/>
        <v>0</v>
      </c>
      <c r="K33" s="46">
        <f t="shared" si="19"/>
        <v>0</v>
      </c>
      <c r="L33" s="46">
        <f t="shared" si="19"/>
        <v>0</v>
      </c>
      <c r="M33" s="46">
        <f t="shared" si="19"/>
        <v>0</v>
      </c>
      <c r="N33" s="46">
        <f t="shared" si="19"/>
        <v>0</v>
      </c>
      <c r="O33" s="43">
        <f t="shared" si="16"/>
        <v>0</v>
      </c>
      <c r="P33" s="12">
        <f t="shared" si="17"/>
        <v>0</v>
      </c>
    </row>
    <row r="34" spans="1:16" x14ac:dyDescent="0.25">
      <c r="A34" s="1"/>
      <c r="B34" s="16" t="s">
        <v>143</v>
      </c>
      <c r="C34" s="46">
        <f t="shared" si="19"/>
        <v>0</v>
      </c>
      <c r="D34" s="46">
        <f t="shared" si="19"/>
        <v>0</v>
      </c>
      <c r="E34" s="46">
        <f t="shared" si="19"/>
        <v>0</v>
      </c>
      <c r="F34" s="46">
        <f t="shared" si="19"/>
        <v>0</v>
      </c>
      <c r="G34" s="46">
        <f t="shared" si="19"/>
        <v>0</v>
      </c>
      <c r="H34" s="46">
        <f t="shared" si="19"/>
        <v>0</v>
      </c>
      <c r="I34" s="46">
        <f t="shared" si="19"/>
        <v>0</v>
      </c>
      <c r="J34" s="46">
        <f t="shared" si="19"/>
        <v>0</v>
      </c>
      <c r="K34" s="46">
        <f t="shared" si="19"/>
        <v>0</v>
      </c>
      <c r="L34" s="46">
        <f t="shared" si="19"/>
        <v>0</v>
      </c>
      <c r="M34" s="46">
        <f t="shared" si="19"/>
        <v>0</v>
      </c>
      <c r="N34" s="46">
        <f t="shared" si="19"/>
        <v>0</v>
      </c>
      <c r="O34" s="43">
        <f t="shared" si="16"/>
        <v>0</v>
      </c>
      <c r="P34" s="12">
        <f t="shared" si="17"/>
        <v>0</v>
      </c>
    </row>
    <row r="35" spans="1:16" x14ac:dyDescent="0.25">
      <c r="A35" s="1"/>
      <c r="B35" s="16" t="s">
        <v>144</v>
      </c>
      <c r="C35" s="46">
        <f t="shared" si="19"/>
        <v>0</v>
      </c>
      <c r="D35" s="46">
        <f t="shared" si="19"/>
        <v>0</v>
      </c>
      <c r="E35" s="46">
        <f t="shared" si="19"/>
        <v>0</v>
      </c>
      <c r="F35" s="46">
        <f t="shared" si="19"/>
        <v>0</v>
      </c>
      <c r="G35" s="46">
        <f t="shared" si="19"/>
        <v>0</v>
      </c>
      <c r="H35" s="46">
        <f t="shared" si="19"/>
        <v>0</v>
      </c>
      <c r="I35" s="46">
        <f t="shared" si="19"/>
        <v>0</v>
      </c>
      <c r="J35" s="46">
        <f t="shared" si="19"/>
        <v>0</v>
      </c>
      <c r="K35" s="46">
        <f t="shared" si="19"/>
        <v>0</v>
      </c>
      <c r="L35" s="46">
        <f t="shared" si="19"/>
        <v>0</v>
      </c>
      <c r="M35" s="46">
        <f t="shared" si="19"/>
        <v>0</v>
      </c>
      <c r="N35" s="46">
        <f t="shared" si="19"/>
        <v>0</v>
      </c>
      <c r="O35" s="43">
        <f t="shared" si="16"/>
        <v>0</v>
      </c>
      <c r="P35" s="12">
        <f t="shared" si="17"/>
        <v>0</v>
      </c>
    </row>
    <row r="36" spans="1:16" x14ac:dyDescent="0.25">
      <c r="A36" s="1"/>
      <c r="B36" s="16" t="s">
        <v>145</v>
      </c>
      <c r="C36" s="46">
        <v>0</v>
      </c>
      <c r="D36" s="46">
        <v>0</v>
      </c>
      <c r="E36" s="46">
        <v>0</v>
      </c>
      <c r="F36" s="46">
        <v>0</v>
      </c>
      <c r="G36" s="46">
        <f>$M10/4</f>
        <v>312.5</v>
      </c>
      <c r="H36" s="46">
        <f t="shared" ref="H36:J36" si="20">$M10/4</f>
        <v>312.5</v>
      </c>
      <c r="I36" s="46">
        <f t="shared" si="20"/>
        <v>312.5</v>
      </c>
      <c r="J36" s="46">
        <f t="shared" si="20"/>
        <v>312.5</v>
      </c>
      <c r="K36" s="46">
        <v>0</v>
      </c>
      <c r="L36" s="46">
        <v>0</v>
      </c>
      <c r="M36" s="46">
        <v>0</v>
      </c>
      <c r="N36" s="46">
        <v>0</v>
      </c>
      <c r="O36" s="43">
        <f t="shared" si="16"/>
        <v>1250</v>
      </c>
      <c r="P36" s="12">
        <f t="shared" si="17"/>
        <v>0</v>
      </c>
    </row>
    <row r="37" spans="1:16" x14ac:dyDescent="0.25">
      <c r="A37" s="1"/>
      <c r="B37" s="16" t="s">
        <v>146</v>
      </c>
      <c r="C37" s="46">
        <v>0</v>
      </c>
      <c r="D37" s="46">
        <v>0</v>
      </c>
      <c r="E37" s="46">
        <v>0</v>
      </c>
      <c r="F37" s="46">
        <v>0</v>
      </c>
      <c r="G37" s="46">
        <f t="shared" ref="G37:J38" si="21">$M11/4</f>
        <v>1162.5</v>
      </c>
      <c r="H37" s="46">
        <f t="shared" si="21"/>
        <v>1162.5</v>
      </c>
      <c r="I37" s="46">
        <f t="shared" si="21"/>
        <v>1162.5</v>
      </c>
      <c r="J37" s="46">
        <f t="shared" si="21"/>
        <v>1162.5</v>
      </c>
      <c r="K37" s="46">
        <v>0</v>
      </c>
      <c r="L37" s="46">
        <v>0</v>
      </c>
      <c r="M37" s="46">
        <v>0</v>
      </c>
      <c r="N37" s="46">
        <v>0</v>
      </c>
      <c r="O37" s="43">
        <f t="shared" si="16"/>
        <v>4650</v>
      </c>
      <c r="P37" s="12">
        <f t="shared" si="17"/>
        <v>0</v>
      </c>
    </row>
    <row r="38" spans="1:16" x14ac:dyDescent="0.25">
      <c r="A38" s="1"/>
      <c r="B38" s="16" t="s">
        <v>147</v>
      </c>
      <c r="C38" s="46">
        <v>0</v>
      </c>
      <c r="D38" s="46">
        <v>0</v>
      </c>
      <c r="E38" s="46">
        <v>0</v>
      </c>
      <c r="F38" s="46">
        <v>0</v>
      </c>
      <c r="G38" s="46">
        <f t="shared" si="21"/>
        <v>75</v>
      </c>
      <c r="H38" s="46">
        <f t="shared" si="21"/>
        <v>75</v>
      </c>
      <c r="I38" s="46">
        <f t="shared" si="21"/>
        <v>75</v>
      </c>
      <c r="J38" s="46">
        <f t="shared" si="21"/>
        <v>75</v>
      </c>
      <c r="K38" s="46">
        <v>0</v>
      </c>
      <c r="L38" s="46">
        <v>0</v>
      </c>
      <c r="M38" s="46">
        <v>0</v>
      </c>
      <c r="N38" s="46">
        <v>0</v>
      </c>
      <c r="O38" s="43">
        <f t="shared" si="16"/>
        <v>300</v>
      </c>
      <c r="P38" s="12">
        <f t="shared" si="17"/>
        <v>0</v>
      </c>
    </row>
    <row r="39" spans="1:16" x14ac:dyDescent="0.25">
      <c r="A39" s="1"/>
      <c r="B39" s="16" t="s">
        <v>148</v>
      </c>
      <c r="C39" s="46">
        <f>$M$13/12</f>
        <v>83.333333333333329</v>
      </c>
      <c r="D39" s="46">
        <f t="shared" ref="D39:N39" si="22">$M$13/12</f>
        <v>83.333333333333329</v>
      </c>
      <c r="E39" s="46">
        <f t="shared" si="22"/>
        <v>83.333333333333329</v>
      </c>
      <c r="F39" s="46">
        <f t="shared" si="22"/>
        <v>83.333333333333329</v>
      </c>
      <c r="G39" s="46">
        <f t="shared" si="22"/>
        <v>83.333333333333329</v>
      </c>
      <c r="H39" s="46">
        <f t="shared" si="22"/>
        <v>83.333333333333329</v>
      </c>
      <c r="I39" s="46">
        <f t="shared" si="22"/>
        <v>83.333333333333329</v>
      </c>
      <c r="J39" s="46">
        <f t="shared" si="22"/>
        <v>83.333333333333329</v>
      </c>
      <c r="K39" s="46">
        <f t="shared" si="22"/>
        <v>83.333333333333329</v>
      </c>
      <c r="L39" s="46">
        <f t="shared" si="22"/>
        <v>83.333333333333329</v>
      </c>
      <c r="M39" s="46">
        <f t="shared" si="22"/>
        <v>83.333333333333329</v>
      </c>
      <c r="N39" s="46">
        <f t="shared" si="22"/>
        <v>83.333333333333329</v>
      </c>
      <c r="O39" s="43">
        <f t="shared" si="16"/>
        <v>1000.0000000000001</v>
      </c>
      <c r="P39" s="12">
        <f t="shared" si="17"/>
        <v>0</v>
      </c>
    </row>
    <row r="40" spans="1:16" x14ac:dyDescent="0.25">
      <c r="A40" s="1"/>
      <c r="B40" s="16" t="s">
        <v>149</v>
      </c>
      <c r="C40" s="46">
        <f t="shared" si="19"/>
        <v>0</v>
      </c>
      <c r="D40" s="46">
        <f t="shared" si="19"/>
        <v>0</v>
      </c>
      <c r="E40" s="46">
        <f t="shared" si="19"/>
        <v>0</v>
      </c>
      <c r="F40" s="46">
        <f t="shared" si="19"/>
        <v>0</v>
      </c>
      <c r="G40" s="46">
        <f t="shared" si="19"/>
        <v>0</v>
      </c>
      <c r="H40" s="46">
        <f t="shared" si="19"/>
        <v>0</v>
      </c>
      <c r="I40" s="46">
        <f t="shared" si="19"/>
        <v>0</v>
      </c>
      <c r="J40" s="46">
        <f t="shared" si="19"/>
        <v>0</v>
      </c>
      <c r="K40" s="46">
        <f t="shared" si="19"/>
        <v>0</v>
      </c>
      <c r="L40" s="46">
        <f t="shared" si="19"/>
        <v>0</v>
      </c>
      <c r="M40" s="46">
        <f t="shared" si="19"/>
        <v>0</v>
      </c>
      <c r="N40" s="46">
        <f t="shared" si="19"/>
        <v>0</v>
      </c>
      <c r="O40" s="43">
        <f t="shared" si="16"/>
        <v>0</v>
      </c>
      <c r="P40" s="12">
        <f t="shared" si="17"/>
        <v>0</v>
      </c>
    </row>
    <row r="41" spans="1:16" x14ac:dyDescent="0.25">
      <c r="A41" s="1"/>
      <c r="B41" s="16" t="s">
        <v>150</v>
      </c>
      <c r="C41" s="46">
        <f>$M$15/12</f>
        <v>50</v>
      </c>
      <c r="D41" s="46">
        <f t="shared" ref="D41:N41" si="23">$M$15/12</f>
        <v>50</v>
      </c>
      <c r="E41" s="46">
        <f t="shared" si="23"/>
        <v>50</v>
      </c>
      <c r="F41" s="46">
        <f t="shared" si="23"/>
        <v>50</v>
      </c>
      <c r="G41" s="46">
        <f t="shared" si="23"/>
        <v>50</v>
      </c>
      <c r="H41" s="46">
        <f t="shared" si="23"/>
        <v>50</v>
      </c>
      <c r="I41" s="46">
        <f t="shared" si="23"/>
        <v>50</v>
      </c>
      <c r="J41" s="46">
        <f t="shared" si="23"/>
        <v>50</v>
      </c>
      <c r="K41" s="46">
        <f t="shared" si="23"/>
        <v>50</v>
      </c>
      <c r="L41" s="46">
        <f t="shared" si="23"/>
        <v>50</v>
      </c>
      <c r="M41" s="46">
        <f t="shared" si="23"/>
        <v>50</v>
      </c>
      <c r="N41" s="46">
        <f t="shared" si="23"/>
        <v>50</v>
      </c>
      <c r="O41" s="43">
        <f t="shared" si="16"/>
        <v>600</v>
      </c>
      <c r="P41" s="12">
        <f t="shared" si="17"/>
        <v>0</v>
      </c>
    </row>
    <row r="42" spans="1:16" x14ac:dyDescent="0.25">
      <c r="A42" s="1"/>
      <c r="B42" s="16" t="s">
        <v>151</v>
      </c>
      <c r="C42" s="46">
        <v>0</v>
      </c>
      <c r="D42" s="46">
        <v>0</v>
      </c>
      <c r="E42" s="46">
        <v>0</v>
      </c>
      <c r="F42" s="46">
        <v>0</v>
      </c>
      <c r="G42" s="46">
        <f t="shared" ref="G42:J42" si="24">$M16/4</f>
        <v>842.75</v>
      </c>
      <c r="H42" s="46">
        <f t="shared" si="24"/>
        <v>842.75</v>
      </c>
      <c r="I42" s="46">
        <f t="shared" si="24"/>
        <v>842.75</v>
      </c>
      <c r="J42" s="46">
        <f t="shared" si="24"/>
        <v>842.75</v>
      </c>
      <c r="K42" s="46">
        <v>0</v>
      </c>
      <c r="L42" s="46">
        <v>0</v>
      </c>
      <c r="M42" s="46">
        <v>0</v>
      </c>
      <c r="N42" s="46">
        <v>0</v>
      </c>
      <c r="O42" s="43">
        <f t="shared" si="16"/>
        <v>3371</v>
      </c>
      <c r="P42" s="12">
        <f t="shared" si="17"/>
        <v>0</v>
      </c>
    </row>
    <row r="43" spans="1:16" x14ac:dyDescent="0.25">
      <c r="A43" s="1"/>
      <c r="B43" s="16" t="s">
        <v>152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f>M17</f>
        <v>40267.01909999999</v>
      </c>
      <c r="M43" s="46">
        <v>0</v>
      </c>
      <c r="N43" s="46">
        <v>0</v>
      </c>
      <c r="O43" s="43">
        <f t="shared" si="16"/>
        <v>40267.01909999999</v>
      </c>
      <c r="P43" s="12">
        <f t="shared" si="17"/>
        <v>0</v>
      </c>
    </row>
    <row r="44" spans="1:16" x14ac:dyDescent="0.25">
      <c r="A44" s="1"/>
      <c r="B44" s="16" t="s">
        <v>153</v>
      </c>
      <c r="C44" s="46">
        <v>0</v>
      </c>
      <c r="D44" s="46">
        <v>0</v>
      </c>
      <c r="E44" s="46">
        <v>0</v>
      </c>
      <c r="F44" s="46">
        <v>0</v>
      </c>
      <c r="G44" s="46">
        <f t="shared" ref="G44:J44" si="25">$M18/4</f>
        <v>20</v>
      </c>
      <c r="H44" s="46">
        <f t="shared" si="25"/>
        <v>20</v>
      </c>
      <c r="I44" s="46">
        <f t="shared" si="25"/>
        <v>20</v>
      </c>
      <c r="J44" s="46">
        <f t="shared" si="25"/>
        <v>20</v>
      </c>
      <c r="K44" s="46">
        <v>0</v>
      </c>
      <c r="L44" s="46">
        <v>0</v>
      </c>
      <c r="M44" s="46">
        <v>0</v>
      </c>
      <c r="N44" s="46">
        <v>0</v>
      </c>
      <c r="O44" s="43">
        <f t="shared" si="16"/>
        <v>80</v>
      </c>
      <c r="P44" s="12">
        <f t="shared" si="17"/>
        <v>0</v>
      </c>
    </row>
    <row r="45" spans="1:16" x14ac:dyDescent="0.25">
      <c r="A45" s="1"/>
      <c r="B45" s="16" t="s">
        <v>154</v>
      </c>
      <c r="C45" s="46">
        <f t="shared" si="19"/>
        <v>0</v>
      </c>
      <c r="D45" s="46">
        <f t="shared" si="19"/>
        <v>0</v>
      </c>
      <c r="E45" s="46">
        <f t="shared" si="19"/>
        <v>0</v>
      </c>
      <c r="F45" s="46">
        <f t="shared" si="19"/>
        <v>0</v>
      </c>
      <c r="G45" s="46">
        <f t="shared" si="19"/>
        <v>0</v>
      </c>
      <c r="H45" s="46">
        <f t="shared" si="19"/>
        <v>0</v>
      </c>
      <c r="I45" s="46">
        <f t="shared" si="19"/>
        <v>0</v>
      </c>
      <c r="J45" s="46">
        <f t="shared" si="19"/>
        <v>0</v>
      </c>
      <c r="K45" s="46">
        <f t="shared" si="19"/>
        <v>0</v>
      </c>
      <c r="L45" s="46">
        <f t="shared" si="19"/>
        <v>0</v>
      </c>
      <c r="M45" s="46">
        <f t="shared" si="19"/>
        <v>0</v>
      </c>
      <c r="N45" s="46">
        <f t="shared" si="19"/>
        <v>0</v>
      </c>
      <c r="O45" s="43">
        <f t="shared" si="16"/>
        <v>0</v>
      </c>
      <c r="P45" s="12">
        <f t="shared" si="17"/>
        <v>0</v>
      </c>
    </row>
    <row r="46" spans="1:16" x14ac:dyDescent="0.25">
      <c r="A46" s="1"/>
      <c r="B46" s="16" t="s">
        <v>155</v>
      </c>
      <c r="C46" s="46">
        <f>$M$20/12</f>
        <v>26</v>
      </c>
      <c r="D46" s="46">
        <f t="shared" ref="D46:N46" si="26">$M$20/12</f>
        <v>26</v>
      </c>
      <c r="E46" s="46">
        <f t="shared" si="26"/>
        <v>26</v>
      </c>
      <c r="F46" s="46">
        <f t="shared" si="26"/>
        <v>26</v>
      </c>
      <c r="G46" s="46">
        <f t="shared" si="26"/>
        <v>26</v>
      </c>
      <c r="H46" s="46">
        <f t="shared" si="26"/>
        <v>26</v>
      </c>
      <c r="I46" s="46">
        <f t="shared" si="26"/>
        <v>26</v>
      </c>
      <c r="J46" s="46">
        <f t="shared" si="26"/>
        <v>26</v>
      </c>
      <c r="K46" s="46">
        <f t="shared" si="26"/>
        <v>26</v>
      </c>
      <c r="L46" s="46">
        <f t="shared" si="26"/>
        <v>26</v>
      </c>
      <c r="M46" s="46">
        <f t="shared" si="26"/>
        <v>26</v>
      </c>
      <c r="N46" s="46">
        <f t="shared" si="26"/>
        <v>26</v>
      </c>
      <c r="O46" s="43">
        <f t="shared" si="16"/>
        <v>312</v>
      </c>
      <c r="P46" s="12">
        <f t="shared" si="17"/>
        <v>0</v>
      </c>
    </row>
    <row r="47" spans="1:16" x14ac:dyDescent="0.25">
      <c r="A47" s="1"/>
      <c r="B47" s="16" t="s">
        <v>156</v>
      </c>
      <c r="C47" s="46">
        <f t="shared" si="19"/>
        <v>0</v>
      </c>
      <c r="D47" s="46">
        <f t="shared" si="19"/>
        <v>0</v>
      </c>
      <c r="E47" s="46">
        <f t="shared" si="19"/>
        <v>0</v>
      </c>
      <c r="F47" s="46">
        <f t="shared" si="19"/>
        <v>0</v>
      </c>
      <c r="G47" s="46">
        <f t="shared" si="19"/>
        <v>0</v>
      </c>
      <c r="H47" s="46">
        <f t="shared" si="19"/>
        <v>0</v>
      </c>
      <c r="I47" s="46">
        <f t="shared" si="19"/>
        <v>0</v>
      </c>
      <c r="J47" s="46">
        <f t="shared" si="19"/>
        <v>0</v>
      </c>
      <c r="K47" s="46">
        <f t="shared" si="19"/>
        <v>0</v>
      </c>
      <c r="L47" s="46">
        <f t="shared" si="19"/>
        <v>0</v>
      </c>
      <c r="M47" s="46">
        <f t="shared" si="19"/>
        <v>0</v>
      </c>
      <c r="N47" s="46">
        <f t="shared" si="19"/>
        <v>0</v>
      </c>
      <c r="O47" s="43">
        <f t="shared" si="16"/>
        <v>0</v>
      </c>
      <c r="P47" s="12">
        <f t="shared" si="17"/>
        <v>0</v>
      </c>
    </row>
    <row r="48" spans="1:16" ht="15.75" thickBot="1" x14ac:dyDescent="0.3">
      <c r="A48" s="1"/>
      <c r="B48" s="16" t="s">
        <v>157</v>
      </c>
      <c r="C48" s="46">
        <f t="shared" si="19"/>
        <v>0</v>
      </c>
      <c r="D48" s="46">
        <f t="shared" si="19"/>
        <v>0</v>
      </c>
      <c r="E48" s="46">
        <f t="shared" si="19"/>
        <v>0</v>
      </c>
      <c r="F48" s="46">
        <f t="shared" si="19"/>
        <v>0</v>
      </c>
      <c r="G48" s="46">
        <f t="shared" si="19"/>
        <v>0</v>
      </c>
      <c r="H48" s="46">
        <f t="shared" si="19"/>
        <v>0</v>
      </c>
      <c r="I48" s="46">
        <f t="shared" si="19"/>
        <v>0</v>
      </c>
      <c r="J48" s="46">
        <f t="shared" si="19"/>
        <v>0</v>
      </c>
      <c r="K48" s="46">
        <f t="shared" si="19"/>
        <v>0</v>
      </c>
      <c r="L48" s="46">
        <f t="shared" si="19"/>
        <v>0</v>
      </c>
      <c r="M48" s="46">
        <f t="shared" si="19"/>
        <v>0</v>
      </c>
      <c r="N48" s="46">
        <f t="shared" si="19"/>
        <v>0</v>
      </c>
      <c r="O48" s="43">
        <f t="shared" si="16"/>
        <v>0</v>
      </c>
      <c r="P48" s="12">
        <f t="shared" si="17"/>
        <v>0</v>
      </c>
    </row>
    <row r="49" spans="1:15" ht="15.75" thickBot="1" x14ac:dyDescent="0.3">
      <c r="A49" s="1" t="s">
        <v>23</v>
      </c>
      <c r="B49" s="1"/>
      <c r="C49" s="7">
        <f t="shared" ref="C49:O49" si="27">ROUND(SUM(C29:C48),5)</f>
        <v>247759.42707999999</v>
      </c>
      <c r="D49" s="7">
        <f t="shared" si="27"/>
        <v>346.83332999999999</v>
      </c>
      <c r="E49" s="7">
        <f t="shared" si="27"/>
        <v>346.83332999999999</v>
      </c>
      <c r="F49" s="7">
        <f t="shared" si="27"/>
        <v>346.83332999999999</v>
      </c>
      <c r="G49" s="7">
        <f t="shared" si="27"/>
        <v>2759.5833299999999</v>
      </c>
      <c r="H49" s="7">
        <f t="shared" si="27"/>
        <v>2759.5833299999999</v>
      </c>
      <c r="I49" s="7">
        <f t="shared" si="27"/>
        <v>55065.740729999998</v>
      </c>
      <c r="J49" s="7">
        <f t="shared" si="27"/>
        <v>2759.5833299999999</v>
      </c>
      <c r="K49" s="7">
        <f t="shared" si="27"/>
        <v>346.83332999999999</v>
      </c>
      <c r="L49" s="7">
        <f t="shared" si="27"/>
        <v>40613.852429999999</v>
      </c>
      <c r="M49" s="7">
        <f t="shared" si="27"/>
        <v>346.83332999999999</v>
      </c>
      <c r="N49" s="7">
        <f t="shared" si="27"/>
        <v>346.83332999999999</v>
      </c>
      <c r="O49" s="7">
        <f t="shared" si="27"/>
        <v>353798.77025</v>
      </c>
    </row>
    <row r="50" spans="1:15" ht="15.75" thickTop="1" x14ac:dyDescent="0.25"/>
  </sheetData>
  <mergeCells count="1">
    <mergeCell ref="M1:Q1"/>
  </mergeCells>
  <pageMargins left="0.7" right="0.7" top="0.75" bottom="0.75" header="0.3" footer="0.3"/>
  <pageSetup scale="5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R56"/>
  <sheetViews>
    <sheetView workbookViewId="0">
      <pane xSplit="2" ySplit="2" topLeftCell="G12" activePane="bottomRight" state="frozen"/>
      <selection activeCell="G29" sqref="G29"/>
      <selection pane="topRight" activeCell="G29" sqref="G29"/>
      <selection pane="bottomLeft" activeCell="G29" sqref="G29"/>
      <selection pane="bottomRight" activeCell="G29" sqref="G29"/>
    </sheetView>
  </sheetViews>
  <sheetFormatPr defaultRowHeight="15" x14ac:dyDescent="0.25"/>
  <cols>
    <col min="2" max="2" width="32.42578125" bestFit="1" customWidth="1"/>
    <col min="3" max="3" width="10" bestFit="1" customWidth="1"/>
    <col min="4" max="5" width="9.28515625" bestFit="1" customWidth="1"/>
    <col min="6" max="6" width="10.7109375" bestFit="1" customWidth="1"/>
    <col min="7" max="10" width="10.42578125" bestFit="1" customWidth="1"/>
    <col min="11" max="12" width="9.28515625" bestFit="1" customWidth="1"/>
    <col min="13" max="13" width="9.7109375" bestFit="1" customWidth="1"/>
    <col min="14" max="15" width="10.7109375" bestFit="1" customWidth="1"/>
    <col min="16" max="16" width="10.42578125" bestFit="1" customWidth="1"/>
    <col min="17" max="17" width="11.85546875" customWidth="1"/>
  </cols>
  <sheetData>
    <row r="1" spans="1:18" x14ac:dyDescent="0.25">
      <c r="A1" s="51">
        <f>'Master Input Tab'!B3</f>
        <v>1.4999999999999999E-2</v>
      </c>
      <c r="K1" t="s">
        <v>170</v>
      </c>
      <c r="M1" s="90" t="s">
        <v>132</v>
      </c>
      <c r="N1" s="91"/>
      <c r="O1" s="91"/>
      <c r="P1" s="91"/>
      <c r="Q1" s="92"/>
      <c r="R1" s="8" t="s">
        <v>134</v>
      </c>
    </row>
    <row r="2" spans="1:18" ht="15.75" thickBot="1" x14ac:dyDescent="0.3">
      <c r="A2" s="52">
        <f>'Master Input Tab'!B4</f>
        <v>0.03</v>
      </c>
      <c r="C2" s="5">
        <v>2005</v>
      </c>
      <c r="D2" s="6">
        <v>2006</v>
      </c>
      <c r="E2" s="6">
        <v>2007</v>
      </c>
      <c r="F2" s="6">
        <v>2008</v>
      </c>
      <c r="G2" s="6">
        <v>2009</v>
      </c>
      <c r="H2" s="6">
        <v>2010</v>
      </c>
      <c r="I2" s="6">
        <v>2011</v>
      </c>
      <c r="J2" s="6">
        <v>2012</v>
      </c>
      <c r="K2" s="6">
        <v>2013</v>
      </c>
      <c r="L2" s="6" t="s">
        <v>171</v>
      </c>
      <c r="M2" s="81" t="str">
        <f>'Total Summary'!$H$4</f>
        <v>2014</v>
      </c>
      <c r="N2" s="81">
        <f>'Total Summary'!$I$4</f>
        <v>2015</v>
      </c>
      <c r="O2" s="81">
        <f>'Total Summary'!$J$4</f>
        <v>2016</v>
      </c>
      <c r="P2" s="81">
        <f>'Total Summary'!$K$4</f>
        <v>2017</v>
      </c>
      <c r="Q2" s="81">
        <f>'Total Summary'!$L$4</f>
        <v>2018</v>
      </c>
    </row>
    <row r="3" spans="1:18" x14ac:dyDescent="0.25">
      <c r="A3" s="1" t="s">
        <v>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8" x14ac:dyDescent="0.25">
      <c r="A4" s="1"/>
      <c r="B4" s="1" t="s">
        <v>1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1060.96</v>
      </c>
      <c r="I4" s="2">
        <v>1231.8800000000001</v>
      </c>
      <c r="J4" s="2">
        <v>1925.62</v>
      </c>
      <c r="K4" s="2">
        <f>VLOOKUP(B4,Summary!F:H,3,FALSE)/8*12</f>
        <v>1627.095</v>
      </c>
      <c r="L4" s="2">
        <f>SUM(C4:K4)/10</f>
        <v>584.55550000000005</v>
      </c>
      <c r="M4" s="44">
        <v>2000</v>
      </c>
      <c r="N4" s="49">
        <f>+M4*(1+$A$1)</f>
        <v>2029.9999999999998</v>
      </c>
      <c r="O4" s="49">
        <f>+N4*(1+$A$1)</f>
        <v>2060.4499999999994</v>
      </c>
      <c r="P4" s="49">
        <f>+O4*(1+$A$1)</f>
        <v>2091.356749999999</v>
      </c>
      <c r="Q4" s="49">
        <f>+P4*(1+$A$1)</f>
        <v>2122.7271012499987</v>
      </c>
      <c r="R4" s="11"/>
    </row>
    <row r="5" spans="1:18" x14ac:dyDescent="0.25">
      <c r="A5" s="1"/>
      <c r="B5" s="1" t="s">
        <v>2</v>
      </c>
      <c r="C5" s="2">
        <v>10323.959999999999</v>
      </c>
      <c r="D5" s="2">
        <v>9022.85</v>
      </c>
      <c r="E5" s="2">
        <v>2703.86</v>
      </c>
      <c r="F5" s="2">
        <v>11772.57</v>
      </c>
      <c r="G5" s="2">
        <v>1436.45</v>
      </c>
      <c r="H5" s="2">
        <v>1611.47</v>
      </c>
      <c r="I5" s="2">
        <v>1077.8800000000001</v>
      </c>
      <c r="J5" s="2">
        <v>17670.5</v>
      </c>
      <c r="K5" s="2">
        <f>VLOOKUP(B5,Summary!F:H,3,FALSE)/8*12</f>
        <v>6651.5550000000003</v>
      </c>
      <c r="L5" s="2">
        <f t="shared" ref="L5:L25" si="0">SUM(C5:K5)/10</f>
        <v>6227.1094999999996</v>
      </c>
      <c r="M5" s="44">
        <v>5000</v>
      </c>
      <c r="N5" s="44">
        <v>5500</v>
      </c>
      <c r="O5" s="44">
        <v>1000</v>
      </c>
      <c r="P5" s="44">
        <v>1000</v>
      </c>
      <c r="Q5" s="44">
        <v>1000</v>
      </c>
      <c r="R5" s="11"/>
    </row>
    <row r="6" spans="1:18" x14ac:dyDescent="0.25">
      <c r="A6" s="1"/>
      <c r="B6" s="1" t="s">
        <v>3</v>
      </c>
      <c r="C6" s="2">
        <v>2760.96</v>
      </c>
      <c r="D6" s="2">
        <v>983.82</v>
      </c>
      <c r="E6" s="2">
        <v>1974.99</v>
      </c>
      <c r="F6" s="2">
        <v>2470.35</v>
      </c>
      <c r="G6" s="2">
        <v>1280.6400000000001</v>
      </c>
      <c r="H6" s="2">
        <v>2258.9499999999998</v>
      </c>
      <c r="I6" s="2">
        <v>1980.02</v>
      </c>
      <c r="J6" s="2">
        <v>730.54</v>
      </c>
      <c r="K6" s="2">
        <f>VLOOKUP(B6,Summary!F:H,3,FALSE)/8*12</f>
        <v>1549.2449999999999</v>
      </c>
      <c r="L6" s="2">
        <f t="shared" si="0"/>
        <v>1598.9514999999999</v>
      </c>
      <c r="M6" s="44">
        <v>1200</v>
      </c>
      <c r="N6" s="49">
        <f>+M6*(1+$A$1)</f>
        <v>1217.9999999999998</v>
      </c>
      <c r="O6" s="49">
        <f>+N6*(1+$A$1)</f>
        <v>1236.2699999999998</v>
      </c>
      <c r="P6" s="49">
        <f>+O6*(1+$A$1)</f>
        <v>1254.8140499999997</v>
      </c>
      <c r="Q6" s="49">
        <f>+P6*(1+$A$1)</f>
        <v>1273.6362607499996</v>
      </c>
      <c r="R6" s="11"/>
    </row>
    <row r="7" spans="1:18" x14ac:dyDescent="0.25">
      <c r="A7" s="1"/>
      <c r="B7" s="1" t="s">
        <v>4</v>
      </c>
      <c r="C7" s="2">
        <v>0</v>
      </c>
      <c r="D7" s="2">
        <v>144.87</v>
      </c>
      <c r="E7" s="2">
        <v>0</v>
      </c>
      <c r="F7" s="2">
        <v>0</v>
      </c>
      <c r="G7" s="2">
        <v>0</v>
      </c>
      <c r="H7" s="2">
        <v>631.24</v>
      </c>
      <c r="I7" s="2">
        <v>0</v>
      </c>
      <c r="J7" s="2">
        <v>0</v>
      </c>
      <c r="K7" s="2">
        <v>0</v>
      </c>
      <c r="L7" s="2">
        <f t="shared" si="0"/>
        <v>77.611000000000004</v>
      </c>
      <c r="M7" s="44">
        <v>1000</v>
      </c>
      <c r="N7" s="44">
        <v>2600</v>
      </c>
      <c r="O7" s="44">
        <v>100</v>
      </c>
      <c r="P7" s="44">
        <v>100</v>
      </c>
      <c r="Q7" s="44">
        <v>100</v>
      </c>
      <c r="R7" s="11"/>
    </row>
    <row r="8" spans="1:18" x14ac:dyDescent="0.25">
      <c r="A8" s="1"/>
      <c r="B8" s="1" t="s">
        <v>5</v>
      </c>
      <c r="C8" s="2">
        <v>4343.78</v>
      </c>
      <c r="D8" s="2">
        <v>3698.93</v>
      </c>
      <c r="E8" s="2">
        <v>2824.27</v>
      </c>
      <c r="F8" s="2">
        <v>4051.71</v>
      </c>
      <c r="G8" s="2">
        <v>2960.04</v>
      </c>
      <c r="H8" s="2">
        <v>4007.95</v>
      </c>
      <c r="I8" s="2">
        <v>3463.94</v>
      </c>
      <c r="J8" s="2">
        <v>3597.72</v>
      </c>
      <c r="K8" s="2">
        <f>VLOOKUP(B8,Summary!F:H,3,FALSE)/8*12</f>
        <v>3130.26</v>
      </c>
      <c r="L8" s="2">
        <f t="shared" si="0"/>
        <v>3207.8599999999997</v>
      </c>
      <c r="M8" s="44">
        <v>4000</v>
      </c>
      <c r="N8" s="44">
        <v>4000</v>
      </c>
      <c r="O8" s="44">
        <v>4000</v>
      </c>
      <c r="P8" s="44">
        <v>4000</v>
      </c>
      <c r="Q8" s="44">
        <v>4000</v>
      </c>
      <c r="R8" s="11"/>
    </row>
    <row r="9" spans="1:18" x14ac:dyDescent="0.25">
      <c r="A9" s="1"/>
      <c r="B9" s="1" t="s">
        <v>6</v>
      </c>
      <c r="C9" s="2">
        <v>408.03</v>
      </c>
      <c r="D9" s="2">
        <v>258.31</v>
      </c>
      <c r="E9" s="2">
        <v>399.85</v>
      </c>
      <c r="F9" s="2">
        <v>560.9</v>
      </c>
      <c r="G9" s="2">
        <v>336.05</v>
      </c>
      <c r="H9" s="2">
        <v>515.47</v>
      </c>
      <c r="I9" s="2">
        <v>500.4</v>
      </c>
      <c r="J9" s="2">
        <v>327.52999999999997</v>
      </c>
      <c r="K9" s="2">
        <f>VLOOKUP(B9,Summary!F:H,3,FALSE)/8*12</f>
        <v>277.26</v>
      </c>
      <c r="L9" s="2">
        <f t="shared" si="0"/>
        <v>358.38</v>
      </c>
      <c r="M9" s="44">
        <v>400</v>
      </c>
      <c r="N9" s="49">
        <f t="shared" ref="N9:Q11" si="1">+M9*(1+$A$1)</f>
        <v>405.99999999999994</v>
      </c>
      <c r="O9" s="49">
        <f t="shared" si="1"/>
        <v>412.08999999999992</v>
      </c>
      <c r="P9" s="49">
        <f t="shared" si="1"/>
        <v>418.27134999999987</v>
      </c>
      <c r="Q9" s="49">
        <f t="shared" si="1"/>
        <v>424.54542024999984</v>
      </c>
      <c r="R9" s="11"/>
    </row>
    <row r="10" spans="1:18" x14ac:dyDescent="0.25">
      <c r="A10" s="1"/>
      <c r="B10" s="1" t="s">
        <v>7</v>
      </c>
      <c r="C10" s="2">
        <v>75.2</v>
      </c>
      <c r="D10" s="2">
        <v>3544.13</v>
      </c>
      <c r="E10" s="2">
        <v>1558.5</v>
      </c>
      <c r="F10" s="2">
        <v>2845.3</v>
      </c>
      <c r="G10" s="2">
        <v>3442.1</v>
      </c>
      <c r="H10" s="2">
        <v>1500.51</v>
      </c>
      <c r="I10" s="2">
        <v>1915.53</v>
      </c>
      <c r="J10" s="2">
        <v>2252.5300000000002</v>
      </c>
      <c r="K10" s="2">
        <f>VLOOKUP(B10,Summary!F:H,3,FALSE)/8*12</f>
        <v>1993.8600000000001</v>
      </c>
      <c r="L10" s="2">
        <f t="shared" si="0"/>
        <v>1912.7660000000001</v>
      </c>
      <c r="M10" s="44">
        <v>2000</v>
      </c>
      <c r="N10" s="49">
        <f t="shared" si="1"/>
        <v>2029.9999999999998</v>
      </c>
      <c r="O10" s="49">
        <f t="shared" si="1"/>
        <v>2060.4499999999994</v>
      </c>
      <c r="P10" s="49">
        <f t="shared" si="1"/>
        <v>2091.356749999999</v>
      </c>
      <c r="Q10" s="49">
        <f t="shared" si="1"/>
        <v>2122.7271012499987</v>
      </c>
      <c r="R10" s="11"/>
    </row>
    <row r="11" spans="1:18" x14ac:dyDescent="0.25">
      <c r="A11" s="1"/>
      <c r="B11" s="1" t="s">
        <v>8</v>
      </c>
      <c r="C11" s="2">
        <v>1134.71</v>
      </c>
      <c r="D11" s="2">
        <v>1129.95</v>
      </c>
      <c r="E11" s="2">
        <v>1136.32</v>
      </c>
      <c r="F11" s="2">
        <v>1140.31</v>
      </c>
      <c r="G11" s="2">
        <v>1129.6300000000001</v>
      </c>
      <c r="H11" s="2">
        <v>986.25</v>
      </c>
      <c r="I11" s="2">
        <v>389.73</v>
      </c>
      <c r="J11" s="2">
        <v>508.87</v>
      </c>
      <c r="K11" s="2">
        <f>VLOOKUP(B11,Summary!F:H,3,FALSE)/8*12</f>
        <v>546.12</v>
      </c>
      <c r="L11" s="2">
        <f t="shared" si="0"/>
        <v>810.18899999999996</v>
      </c>
      <c r="M11" s="44">
        <v>200</v>
      </c>
      <c r="N11" s="49">
        <f t="shared" si="1"/>
        <v>202.99999999999997</v>
      </c>
      <c r="O11" s="49">
        <f t="shared" si="1"/>
        <v>206.04499999999996</v>
      </c>
      <c r="P11" s="49">
        <f t="shared" si="1"/>
        <v>209.13567499999994</v>
      </c>
      <c r="Q11" s="49">
        <f t="shared" si="1"/>
        <v>212.27271012499992</v>
      </c>
      <c r="R11" s="11"/>
    </row>
    <row r="12" spans="1:18" x14ac:dyDescent="0.25">
      <c r="A12" s="1"/>
      <c r="B12" s="1" t="s">
        <v>9</v>
      </c>
      <c r="C12" s="2">
        <v>0</v>
      </c>
      <c r="D12" s="2">
        <v>0</v>
      </c>
      <c r="E12" s="2">
        <v>0</v>
      </c>
      <c r="F12" s="2">
        <v>18.190000000000001</v>
      </c>
      <c r="G12" s="2">
        <v>79.599999999999994</v>
      </c>
      <c r="H12" s="2">
        <v>0</v>
      </c>
      <c r="I12" s="2">
        <v>0</v>
      </c>
      <c r="J12" s="2">
        <v>0</v>
      </c>
      <c r="K12" s="2">
        <f>VLOOKUP(B12,Summary!F:H,3,FALSE)/8*12</f>
        <v>198.34499999999997</v>
      </c>
      <c r="L12" s="2">
        <f t="shared" si="0"/>
        <v>29.613499999999998</v>
      </c>
      <c r="M12" s="44">
        <v>0</v>
      </c>
      <c r="N12" s="49">
        <v>0</v>
      </c>
      <c r="O12" s="49">
        <v>0</v>
      </c>
      <c r="P12" s="49">
        <v>0</v>
      </c>
      <c r="Q12" s="49">
        <v>0</v>
      </c>
      <c r="R12" s="11"/>
    </row>
    <row r="13" spans="1:18" x14ac:dyDescent="0.25">
      <c r="A13" s="1"/>
      <c r="B13" s="1" t="s">
        <v>10</v>
      </c>
      <c r="C13" s="2">
        <v>0</v>
      </c>
      <c r="D13" s="2">
        <v>0</v>
      </c>
      <c r="E13" s="2">
        <v>0</v>
      </c>
      <c r="F13" s="2">
        <v>700</v>
      </c>
      <c r="G13" s="2">
        <v>1021.5</v>
      </c>
      <c r="H13" s="2">
        <v>1002.38</v>
      </c>
      <c r="I13" s="2">
        <v>0</v>
      </c>
      <c r="J13" s="2">
        <v>0</v>
      </c>
      <c r="K13" s="2">
        <f>VLOOKUP(B13,Summary!F:H,3,FALSE)/8*12</f>
        <v>0</v>
      </c>
      <c r="L13" s="2">
        <f t="shared" si="0"/>
        <v>272.38800000000003</v>
      </c>
      <c r="M13" s="44">
        <v>300</v>
      </c>
      <c r="N13" s="49">
        <f>+M13*(1+$A$2)</f>
        <v>309</v>
      </c>
      <c r="O13" s="49">
        <f>+N13*(1+$A$2)</f>
        <v>318.27</v>
      </c>
      <c r="P13" s="49">
        <f>+O13*(1+$A$2)</f>
        <v>327.81810000000002</v>
      </c>
      <c r="Q13" s="49">
        <f>+P13*(1+$A$2)</f>
        <v>337.65264300000001</v>
      </c>
      <c r="R13" s="11"/>
    </row>
    <row r="14" spans="1:18" x14ac:dyDescent="0.25">
      <c r="A14" s="1"/>
      <c r="B14" s="1" t="s">
        <v>11</v>
      </c>
      <c r="C14" s="2">
        <v>3125.25</v>
      </c>
      <c r="D14" s="2">
        <v>7831.08</v>
      </c>
      <c r="E14" s="2">
        <v>1215.27</v>
      </c>
      <c r="F14" s="2">
        <v>2061.06</v>
      </c>
      <c r="G14" s="2">
        <v>4241.43</v>
      </c>
      <c r="H14" s="2">
        <v>3698.73</v>
      </c>
      <c r="I14" s="2">
        <v>7431.63</v>
      </c>
      <c r="J14" s="2">
        <v>1572.48</v>
      </c>
      <c r="K14" s="2">
        <f>VLOOKUP(B14,Summary!F:H,3,FALSE)/8*12</f>
        <v>2605.71</v>
      </c>
      <c r="L14" s="2">
        <f t="shared" si="0"/>
        <v>3378.2640000000001</v>
      </c>
      <c r="M14" s="44">
        <v>2000</v>
      </c>
      <c r="N14" s="49">
        <f>+M14*(1+$A$1)</f>
        <v>2029.9999999999998</v>
      </c>
      <c r="O14" s="49">
        <f>+N14*(1+$A$1)</f>
        <v>2060.4499999999994</v>
      </c>
      <c r="P14" s="49">
        <f>+O14*(1+$A$1)</f>
        <v>2091.356749999999</v>
      </c>
      <c r="Q14" s="49">
        <f>+P14*(1+$A$1)</f>
        <v>2122.7271012499987</v>
      </c>
      <c r="R14" s="11"/>
    </row>
    <row r="15" spans="1:18" x14ac:dyDescent="0.25">
      <c r="A15" s="1"/>
      <c r="B15" s="1" t="s">
        <v>12</v>
      </c>
      <c r="C15" s="2">
        <v>5614</v>
      </c>
      <c r="D15" s="2">
        <v>5070.1000000000004</v>
      </c>
      <c r="E15" s="2">
        <v>2053.5100000000002</v>
      </c>
      <c r="F15" s="2">
        <v>8129.9</v>
      </c>
      <c r="G15" s="2">
        <v>8871.7099999999991</v>
      </c>
      <c r="H15" s="2">
        <v>10404.64</v>
      </c>
      <c r="I15" s="2">
        <v>10197.64</v>
      </c>
      <c r="J15" s="2">
        <v>11017.35</v>
      </c>
      <c r="K15" s="2">
        <f>VLOOKUP(B15,Summary!F:H,3,FALSE)/8*12</f>
        <v>12077.865</v>
      </c>
      <c r="L15" s="2">
        <f t="shared" si="0"/>
        <v>7343.6714999999995</v>
      </c>
      <c r="M15" s="44">
        <v>8000</v>
      </c>
      <c r="N15" s="49">
        <f>+M15*(1+$A$2)</f>
        <v>8240</v>
      </c>
      <c r="O15" s="49">
        <f>+N15*(1+$A$2)</f>
        <v>8487.2000000000007</v>
      </c>
      <c r="P15" s="49">
        <f>+O15*(1+$A$2)</f>
        <v>8741.8160000000007</v>
      </c>
      <c r="Q15" s="49">
        <f>+P15*(1+$A$2)</f>
        <v>9004.0704800000003</v>
      </c>
      <c r="R15" s="11"/>
    </row>
    <row r="16" spans="1:18" x14ac:dyDescent="0.25">
      <c r="A16" s="1"/>
      <c r="B16" s="1" t="s">
        <v>13</v>
      </c>
      <c r="C16" s="2">
        <v>12434.81</v>
      </c>
      <c r="D16" s="2">
        <v>13359.06</v>
      </c>
      <c r="E16" s="2">
        <v>9876.82</v>
      </c>
      <c r="F16" s="2">
        <v>5157.18</v>
      </c>
      <c r="G16" s="2">
        <v>5774.22</v>
      </c>
      <c r="H16" s="2">
        <v>2353.9499999999998</v>
      </c>
      <c r="I16" s="2">
        <v>19253.29</v>
      </c>
      <c r="J16" s="2">
        <v>10262.040000000001</v>
      </c>
      <c r="K16" s="2">
        <f>VLOOKUP(B16,Summary!F:H,3,FALSE)/8*12</f>
        <v>4129.41</v>
      </c>
      <c r="L16" s="2">
        <f t="shared" si="0"/>
        <v>8260.0779999999995</v>
      </c>
      <c r="M16" s="44">
        <v>9500</v>
      </c>
      <c r="N16" s="49">
        <v>13500</v>
      </c>
      <c r="O16" s="49">
        <v>28500</v>
      </c>
      <c r="P16" s="49">
        <v>8000</v>
      </c>
      <c r="Q16" s="49">
        <v>3500</v>
      </c>
      <c r="R16" s="11"/>
    </row>
    <row r="17" spans="1:18" x14ac:dyDescent="0.25">
      <c r="A17" s="1"/>
      <c r="B17" s="1" t="s">
        <v>14</v>
      </c>
      <c r="C17" s="2">
        <v>14.1</v>
      </c>
      <c r="D17" s="2">
        <v>0</v>
      </c>
      <c r="E17" s="2">
        <v>12320.17</v>
      </c>
      <c r="F17" s="2">
        <v>0</v>
      </c>
      <c r="G17" s="2">
        <v>867.42</v>
      </c>
      <c r="H17" s="2">
        <v>0</v>
      </c>
      <c r="I17" s="2">
        <v>0</v>
      </c>
      <c r="J17" s="2">
        <v>0</v>
      </c>
      <c r="K17" s="2">
        <v>0</v>
      </c>
      <c r="L17" s="2">
        <f t="shared" si="0"/>
        <v>1320.1690000000001</v>
      </c>
      <c r="M17" s="44">
        <v>0</v>
      </c>
      <c r="N17" s="49">
        <v>0</v>
      </c>
      <c r="O17" s="49">
        <v>0</v>
      </c>
      <c r="P17" s="49">
        <v>0</v>
      </c>
      <c r="Q17" s="49">
        <v>0</v>
      </c>
      <c r="R17" s="11"/>
    </row>
    <row r="18" spans="1:18" x14ac:dyDescent="0.25">
      <c r="A18" s="1"/>
      <c r="B18" s="1" t="s">
        <v>15</v>
      </c>
      <c r="C18" s="2">
        <v>0</v>
      </c>
      <c r="D18" s="2">
        <v>0</v>
      </c>
      <c r="E18" s="2">
        <v>3650.59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f t="shared" si="0"/>
        <v>365.05900000000003</v>
      </c>
      <c r="M18" s="44">
        <v>0</v>
      </c>
      <c r="N18" s="49">
        <v>0</v>
      </c>
      <c r="O18" s="49">
        <v>0</v>
      </c>
      <c r="P18" s="49">
        <v>0</v>
      </c>
      <c r="Q18" s="49">
        <v>0</v>
      </c>
      <c r="R18" s="11"/>
    </row>
    <row r="19" spans="1:18" x14ac:dyDescent="0.25">
      <c r="A19" s="1"/>
      <c r="B19" s="1" t="s">
        <v>16</v>
      </c>
      <c r="C19" s="2">
        <v>0</v>
      </c>
      <c r="D19" s="2">
        <v>0</v>
      </c>
      <c r="E19" s="2">
        <v>1019.85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f t="shared" si="0"/>
        <v>101.985</v>
      </c>
      <c r="M19" s="44">
        <v>0</v>
      </c>
      <c r="N19" s="49">
        <v>0</v>
      </c>
      <c r="O19" s="49">
        <v>0</v>
      </c>
      <c r="P19" s="49">
        <v>0</v>
      </c>
      <c r="Q19" s="49">
        <v>0</v>
      </c>
      <c r="R19" s="11"/>
    </row>
    <row r="20" spans="1:18" x14ac:dyDescent="0.25">
      <c r="A20" s="1"/>
      <c r="B20" s="1" t="s">
        <v>17</v>
      </c>
      <c r="C20" s="2">
        <v>4548.92</v>
      </c>
      <c r="D20" s="2">
        <v>3400</v>
      </c>
      <c r="E20" s="2">
        <v>1800</v>
      </c>
      <c r="F20" s="2">
        <v>2400</v>
      </c>
      <c r="G20" s="2">
        <v>3200</v>
      </c>
      <c r="H20" s="2">
        <v>3800</v>
      </c>
      <c r="I20" s="2">
        <v>5949.86</v>
      </c>
      <c r="J20" s="2">
        <v>4200</v>
      </c>
      <c r="K20" s="2">
        <f>VLOOKUP(B20,Summary!F:H,3,FALSE)/8*12</f>
        <v>2859.57</v>
      </c>
      <c r="L20" s="2">
        <f t="shared" si="0"/>
        <v>3215.835</v>
      </c>
      <c r="M20" s="44">
        <v>2000</v>
      </c>
      <c r="N20" s="49">
        <f>+M20*(1+$A$2)</f>
        <v>2060</v>
      </c>
      <c r="O20" s="49">
        <f>+N20*(1+$A$2)</f>
        <v>2121.8000000000002</v>
      </c>
      <c r="P20" s="49">
        <f>+O20*(1+$A$2)</f>
        <v>2185.4540000000002</v>
      </c>
      <c r="Q20" s="49">
        <f>+P20*(1+$A$2)</f>
        <v>2251.0176200000001</v>
      </c>
      <c r="R20" s="11"/>
    </row>
    <row r="21" spans="1:18" x14ac:dyDescent="0.25">
      <c r="A21" s="1"/>
      <c r="B21" s="1" t="s">
        <v>18</v>
      </c>
      <c r="C21" s="2">
        <v>0</v>
      </c>
      <c r="D21" s="2">
        <v>0</v>
      </c>
      <c r="E21" s="2">
        <v>736.88</v>
      </c>
      <c r="F21" s="2">
        <v>107.75</v>
      </c>
      <c r="G21" s="2">
        <v>6.25</v>
      </c>
      <c r="H21" s="2">
        <v>0</v>
      </c>
      <c r="I21" s="2">
        <v>0</v>
      </c>
      <c r="J21" s="2">
        <v>0</v>
      </c>
      <c r="K21" s="2">
        <v>0</v>
      </c>
      <c r="L21" s="2">
        <f t="shared" si="0"/>
        <v>85.087999999999994</v>
      </c>
      <c r="M21" s="44">
        <v>0</v>
      </c>
      <c r="N21" s="49">
        <v>0</v>
      </c>
      <c r="O21" s="49">
        <v>0</v>
      </c>
      <c r="P21" s="49">
        <v>0</v>
      </c>
      <c r="Q21" s="49">
        <v>0</v>
      </c>
      <c r="R21" s="11"/>
    </row>
    <row r="22" spans="1:18" x14ac:dyDescent="0.25">
      <c r="A22" s="1"/>
      <c r="B22" s="1" t="s">
        <v>19</v>
      </c>
      <c r="C22" s="2">
        <v>2913.5</v>
      </c>
      <c r="D22" s="2">
        <v>3243.75</v>
      </c>
      <c r="E22" s="2">
        <v>3137.17</v>
      </c>
      <c r="F22" s="2">
        <v>3130.71</v>
      </c>
      <c r="G22" s="2">
        <v>1326.77</v>
      </c>
      <c r="H22" s="2">
        <v>700.2</v>
      </c>
      <c r="I22" s="2">
        <v>2013</v>
      </c>
      <c r="J22" s="2">
        <v>2585.52</v>
      </c>
      <c r="K22" s="2">
        <f>VLOOKUP(B22,Summary!F:H,3,FALSE)/8*12</f>
        <v>1898.46</v>
      </c>
      <c r="L22" s="2">
        <f t="shared" si="0"/>
        <v>2094.9080000000004</v>
      </c>
      <c r="M22" s="49">
        <f>+'Master Input Tab'!$B$30*'Master Input Tab'!$C$30*'Master Input Tab'!$B$5</f>
        <v>2210</v>
      </c>
      <c r="N22" s="49">
        <f>+M22*(1+$A$2)</f>
        <v>2276.3000000000002</v>
      </c>
      <c r="O22" s="49">
        <f>+N22*(1+$A$2)</f>
        <v>2344.5890000000004</v>
      </c>
      <c r="P22" s="49">
        <f>+O22*(1+$A$2)</f>
        <v>2414.9266700000003</v>
      </c>
      <c r="Q22" s="49">
        <f>+P22*(1+$A$2)</f>
        <v>2487.3744701000005</v>
      </c>
      <c r="R22" s="11"/>
    </row>
    <row r="23" spans="1:18" x14ac:dyDescent="0.25">
      <c r="A23" s="1"/>
      <c r="B23" s="1" t="s">
        <v>20</v>
      </c>
      <c r="C23" s="2">
        <v>0</v>
      </c>
      <c r="D23" s="2">
        <v>0</v>
      </c>
      <c r="E23" s="2">
        <v>0</v>
      </c>
      <c r="F23" s="2">
        <v>0</v>
      </c>
      <c r="G23" s="2">
        <v>300</v>
      </c>
      <c r="H23" s="2">
        <v>0</v>
      </c>
      <c r="I23" s="2">
        <v>0</v>
      </c>
      <c r="J23" s="2">
        <v>0</v>
      </c>
      <c r="K23" s="2">
        <v>0</v>
      </c>
      <c r="L23" s="2">
        <f t="shared" si="0"/>
        <v>30</v>
      </c>
      <c r="M23" s="44">
        <v>0</v>
      </c>
      <c r="N23" s="49">
        <v>0</v>
      </c>
      <c r="O23" s="49">
        <v>0</v>
      </c>
      <c r="P23" s="49">
        <v>0</v>
      </c>
      <c r="Q23" s="49">
        <v>0</v>
      </c>
      <c r="R23" s="11"/>
    </row>
    <row r="24" spans="1:18" x14ac:dyDescent="0.25">
      <c r="A24" s="1"/>
      <c r="B24" s="1" t="s">
        <v>21</v>
      </c>
      <c r="C24" s="2">
        <v>349.16</v>
      </c>
      <c r="D24" s="2">
        <v>474.48</v>
      </c>
      <c r="E24" s="2">
        <v>301.66000000000003</v>
      </c>
      <c r="F24" s="2">
        <v>893.21</v>
      </c>
      <c r="G24" s="2">
        <v>468.37</v>
      </c>
      <c r="H24" s="2">
        <v>315.33</v>
      </c>
      <c r="I24" s="2">
        <v>429.68</v>
      </c>
      <c r="J24" s="2">
        <v>299.95</v>
      </c>
      <c r="K24" s="2">
        <f>VLOOKUP(B24,Summary!F:H,3,FALSE)/8*12</f>
        <v>809.55000000000007</v>
      </c>
      <c r="L24" s="2">
        <f t="shared" si="0"/>
        <v>434.13899999999995</v>
      </c>
      <c r="M24" s="44">
        <v>400</v>
      </c>
      <c r="N24" s="49">
        <f>+M24*(1+$A$1)</f>
        <v>405.99999999999994</v>
      </c>
      <c r="O24" s="49">
        <f>+N24*(1+$A$1)</f>
        <v>412.08999999999992</v>
      </c>
      <c r="P24" s="49">
        <f>+O24*(1+$A$1)</f>
        <v>418.27134999999987</v>
      </c>
      <c r="Q24" s="49">
        <f>+P24*(1+$A$1)</f>
        <v>424.54542024999984</v>
      </c>
      <c r="R24" s="11"/>
    </row>
    <row r="25" spans="1:18" ht="15.75" thickBot="1" x14ac:dyDescent="0.3">
      <c r="A25" s="1"/>
      <c r="B25" s="1" t="s">
        <v>22</v>
      </c>
      <c r="C25" s="3">
        <v>0</v>
      </c>
      <c r="D25" s="3">
        <v>0</v>
      </c>
      <c r="E25" s="3">
        <v>0</v>
      </c>
      <c r="F25" s="3">
        <v>0</v>
      </c>
      <c r="G25" s="3">
        <v>1921.04</v>
      </c>
      <c r="H25" s="3">
        <v>0</v>
      </c>
      <c r="I25" s="3">
        <v>0</v>
      </c>
      <c r="J25" s="3">
        <v>0</v>
      </c>
      <c r="K25" s="2">
        <v>0</v>
      </c>
      <c r="L25" s="2">
        <f t="shared" si="0"/>
        <v>192.10399999999998</v>
      </c>
      <c r="M25" s="44">
        <v>2000</v>
      </c>
      <c r="N25" s="49">
        <v>1000</v>
      </c>
      <c r="O25" s="49">
        <v>1000</v>
      </c>
      <c r="P25" s="49">
        <v>1000</v>
      </c>
      <c r="Q25" s="49">
        <v>1000</v>
      </c>
      <c r="R25" s="11"/>
    </row>
    <row r="26" spans="1:18" ht="15.75" thickBot="1" x14ac:dyDescent="0.3">
      <c r="A26" s="1" t="s">
        <v>23</v>
      </c>
      <c r="B26" s="1"/>
      <c r="C26" s="7">
        <f t="shared" ref="C26:Q26" si="2">ROUND(SUM(C3:C25),5)</f>
        <v>48046.38</v>
      </c>
      <c r="D26" s="7">
        <f t="shared" si="2"/>
        <v>52161.33</v>
      </c>
      <c r="E26" s="7">
        <f t="shared" si="2"/>
        <v>46709.71</v>
      </c>
      <c r="F26" s="7">
        <f t="shared" si="2"/>
        <v>45439.14</v>
      </c>
      <c r="G26" s="7">
        <f t="shared" si="2"/>
        <v>38663.22</v>
      </c>
      <c r="H26" s="7">
        <f t="shared" si="2"/>
        <v>34848.03</v>
      </c>
      <c r="I26" s="7">
        <f t="shared" si="2"/>
        <v>55834.48</v>
      </c>
      <c r="J26" s="7">
        <f t="shared" si="2"/>
        <v>56950.65</v>
      </c>
      <c r="K26" s="7">
        <f t="shared" si="2"/>
        <v>40354.305</v>
      </c>
      <c r="L26" s="7">
        <f t="shared" si="2"/>
        <v>41900.724499999997</v>
      </c>
      <c r="M26" s="7">
        <f t="shared" si="2"/>
        <v>42210</v>
      </c>
      <c r="N26" s="7">
        <f t="shared" si="2"/>
        <v>47808.3</v>
      </c>
      <c r="O26" s="7">
        <f t="shared" si="2"/>
        <v>56319.703999999998</v>
      </c>
      <c r="P26" s="7">
        <f t="shared" si="2"/>
        <v>36344.577449999997</v>
      </c>
      <c r="Q26" s="7">
        <f t="shared" si="2"/>
        <v>32383.296330000001</v>
      </c>
    </row>
    <row r="27" spans="1:18" ht="15.75" thickTop="1" x14ac:dyDescent="0.25"/>
    <row r="30" spans="1:18" x14ac:dyDescent="0.25">
      <c r="A30" s="8" t="s">
        <v>133</v>
      </c>
      <c r="B30" s="8"/>
    </row>
    <row r="31" spans="1:18" x14ac:dyDescent="0.25">
      <c r="A31" s="10"/>
      <c r="C31" t="s">
        <v>120</v>
      </c>
      <c r="D31" t="s">
        <v>121</v>
      </c>
      <c r="E31" t="s">
        <v>122</v>
      </c>
      <c r="F31" t="s">
        <v>129</v>
      </c>
      <c r="G31" t="s">
        <v>130</v>
      </c>
      <c r="H31" t="s">
        <v>31</v>
      </c>
      <c r="I31" t="s">
        <v>24</v>
      </c>
      <c r="J31" t="s">
        <v>26</v>
      </c>
      <c r="K31" t="s">
        <v>27</v>
      </c>
      <c r="L31" t="s">
        <v>25</v>
      </c>
      <c r="M31" t="s">
        <v>28</v>
      </c>
      <c r="N31" t="s">
        <v>29</v>
      </c>
      <c r="O31" t="s">
        <v>30</v>
      </c>
      <c r="P31" t="s">
        <v>131</v>
      </c>
    </row>
    <row r="32" spans="1:18" x14ac:dyDescent="0.25">
      <c r="A32" s="1" t="s">
        <v>0</v>
      </c>
      <c r="B32" s="1"/>
    </row>
    <row r="33" spans="1:16" x14ac:dyDescent="0.25">
      <c r="A33" s="1"/>
      <c r="B33" s="1" t="s">
        <v>1</v>
      </c>
      <c r="C33" s="46">
        <v>0</v>
      </c>
      <c r="D33" s="46">
        <v>0</v>
      </c>
      <c r="E33" s="46">
        <v>0</v>
      </c>
      <c r="F33" s="46">
        <v>0</v>
      </c>
      <c r="G33" s="46">
        <v>1000</v>
      </c>
      <c r="H33" s="46">
        <v>0</v>
      </c>
      <c r="I33" s="46">
        <v>1000</v>
      </c>
      <c r="J33" s="46"/>
      <c r="K33" s="46"/>
      <c r="L33" s="46"/>
      <c r="M33" s="46"/>
      <c r="N33" s="46"/>
      <c r="O33" s="43">
        <f t="shared" ref="O33:O54" si="3">SUM(C33:N33)</f>
        <v>2000</v>
      </c>
      <c r="P33" s="12">
        <f t="shared" ref="P33:P54" si="4">+O33-M4</f>
        <v>0</v>
      </c>
    </row>
    <row r="34" spans="1:16" x14ac:dyDescent="0.25">
      <c r="A34" s="1"/>
      <c r="B34" s="1" t="s">
        <v>2</v>
      </c>
      <c r="C34" s="46"/>
      <c r="D34" s="46"/>
      <c r="E34" s="46"/>
      <c r="F34" s="46"/>
      <c r="G34" s="46">
        <v>5000</v>
      </c>
      <c r="H34" s="46"/>
      <c r="I34" s="46"/>
      <c r="J34" s="46"/>
      <c r="K34" s="46"/>
      <c r="L34" s="46"/>
      <c r="M34" s="46"/>
      <c r="N34" s="46"/>
      <c r="O34" s="43">
        <f t="shared" si="3"/>
        <v>5000</v>
      </c>
      <c r="P34" s="12">
        <f t="shared" si="4"/>
        <v>0</v>
      </c>
    </row>
    <row r="35" spans="1:16" x14ac:dyDescent="0.25">
      <c r="A35" s="1"/>
      <c r="B35" s="1" t="s">
        <v>3</v>
      </c>
      <c r="C35" s="46">
        <v>150</v>
      </c>
      <c r="D35" s="46">
        <v>150</v>
      </c>
      <c r="E35" s="46">
        <v>150</v>
      </c>
      <c r="F35" s="46">
        <v>150</v>
      </c>
      <c r="G35" s="46">
        <v>25</v>
      </c>
      <c r="H35" s="46">
        <v>25</v>
      </c>
      <c r="I35" s="46">
        <v>25</v>
      </c>
      <c r="J35" s="46">
        <v>25</v>
      </c>
      <c r="K35" s="46">
        <v>25</v>
      </c>
      <c r="L35" s="46">
        <v>25</v>
      </c>
      <c r="M35" s="46">
        <v>150</v>
      </c>
      <c r="N35" s="46">
        <v>300</v>
      </c>
      <c r="O35" s="43">
        <f t="shared" si="3"/>
        <v>1200</v>
      </c>
      <c r="P35" s="12">
        <f t="shared" si="4"/>
        <v>0</v>
      </c>
    </row>
    <row r="36" spans="1:16" x14ac:dyDescent="0.25">
      <c r="A36" s="1"/>
      <c r="B36" s="1" t="s">
        <v>4</v>
      </c>
      <c r="C36" s="46"/>
      <c r="D36" s="46"/>
      <c r="E36" s="46"/>
      <c r="F36" s="46">
        <v>0</v>
      </c>
      <c r="G36" s="46">
        <v>1000</v>
      </c>
      <c r="H36" s="46">
        <v>0</v>
      </c>
      <c r="I36" s="46">
        <v>0</v>
      </c>
      <c r="J36" s="46"/>
      <c r="K36" s="46"/>
      <c r="L36" s="46"/>
      <c r="M36" s="46"/>
      <c r="N36" s="46"/>
      <c r="O36" s="43">
        <f t="shared" si="3"/>
        <v>1000</v>
      </c>
      <c r="P36" s="12">
        <f t="shared" si="4"/>
        <v>0</v>
      </c>
    </row>
    <row r="37" spans="1:16" x14ac:dyDescent="0.25">
      <c r="A37" s="1"/>
      <c r="B37" s="1" t="s">
        <v>5</v>
      </c>
      <c r="C37" s="46">
        <v>100</v>
      </c>
      <c r="D37" s="46">
        <v>100</v>
      </c>
      <c r="E37" s="46">
        <v>100</v>
      </c>
      <c r="F37" s="46">
        <v>100</v>
      </c>
      <c r="G37" s="46">
        <v>300</v>
      </c>
      <c r="H37" s="46">
        <v>500</v>
      </c>
      <c r="I37" s="46">
        <v>500</v>
      </c>
      <c r="J37" s="46">
        <v>500</v>
      </c>
      <c r="K37" s="46">
        <v>500</v>
      </c>
      <c r="L37" s="46">
        <v>500</v>
      </c>
      <c r="M37" s="46">
        <v>400</v>
      </c>
      <c r="N37" s="46">
        <v>400</v>
      </c>
      <c r="O37" s="43">
        <f t="shared" si="3"/>
        <v>4000</v>
      </c>
      <c r="P37" s="12">
        <f t="shared" si="4"/>
        <v>0</v>
      </c>
    </row>
    <row r="38" spans="1:16" x14ac:dyDescent="0.25">
      <c r="A38" s="1"/>
      <c r="B38" s="1" t="s">
        <v>6</v>
      </c>
      <c r="C38" s="46">
        <v>35</v>
      </c>
      <c r="D38" s="46">
        <v>35</v>
      </c>
      <c r="E38" s="46">
        <v>35</v>
      </c>
      <c r="F38" s="46">
        <v>35</v>
      </c>
      <c r="G38" s="46">
        <v>35</v>
      </c>
      <c r="H38" s="46">
        <v>35</v>
      </c>
      <c r="I38" s="46">
        <v>35</v>
      </c>
      <c r="J38" s="46">
        <v>35</v>
      </c>
      <c r="K38" s="46">
        <v>35</v>
      </c>
      <c r="L38" s="46">
        <v>35</v>
      </c>
      <c r="M38" s="46">
        <v>35</v>
      </c>
      <c r="N38" s="46">
        <v>15</v>
      </c>
      <c r="O38" s="43">
        <f t="shared" si="3"/>
        <v>400</v>
      </c>
      <c r="P38" s="12">
        <f t="shared" si="4"/>
        <v>0</v>
      </c>
    </row>
    <row r="39" spans="1:16" x14ac:dyDescent="0.25">
      <c r="A39" s="1"/>
      <c r="B39" s="1" t="s">
        <v>7</v>
      </c>
      <c r="C39" s="46"/>
      <c r="D39" s="46">
        <v>0</v>
      </c>
      <c r="E39" s="46">
        <v>0</v>
      </c>
      <c r="F39" s="46">
        <v>0</v>
      </c>
      <c r="G39" s="46">
        <v>0</v>
      </c>
      <c r="H39" s="46">
        <v>1500</v>
      </c>
      <c r="I39" s="46">
        <v>200</v>
      </c>
      <c r="J39" s="46">
        <v>200</v>
      </c>
      <c r="K39" s="46">
        <v>100</v>
      </c>
      <c r="L39" s="46"/>
      <c r="M39" s="46"/>
      <c r="N39" s="46"/>
      <c r="O39" s="43">
        <f t="shared" si="3"/>
        <v>2000</v>
      </c>
      <c r="P39" s="12">
        <f t="shared" si="4"/>
        <v>0</v>
      </c>
    </row>
    <row r="40" spans="1:16" x14ac:dyDescent="0.25">
      <c r="A40" s="1"/>
      <c r="B40" s="1" t="s">
        <v>8</v>
      </c>
      <c r="C40" s="46">
        <v>15</v>
      </c>
      <c r="D40" s="46">
        <v>15</v>
      </c>
      <c r="E40" s="46">
        <v>15</v>
      </c>
      <c r="F40" s="46">
        <v>15</v>
      </c>
      <c r="G40" s="46">
        <v>15</v>
      </c>
      <c r="H40" s="46">
        <v>15</v>
      </c>
      <c r="I40" s="46">
        <v>15</v>
      </c>
      <c r="J40" s="46">
        <v>15</v>
      </c>
      <c r="K40" s="46">
        <v>15</v>
      </c>
      <c r="L40" s="46">
        <v>15</v>
      </c>
      <c r="M40" s="46">
        <v>15</v>
      </c>
      <c r="N40" s="46">
        <v>35</v>
      </c>
      <c r="O40" s="43">
        <f t="shared" si="3"/>
        <v>200</v>
      </c>
      <c r="P40" s="12">
        <f t="shared" si="4"/>
        <v>0</v>
      </c>
    </row>
    <row r="41" spans="1:16" x14ac:dyDescent="0.25">
      <c r="A41" s="1"/>
      <c r="B41" s="1" t="s">
        <v>9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3">
        <f t="shared" si="3"/>
        <v>0</v>
      </c>
      <c r="P41" s="12">
        <f t="shared" si="4"/>
        <v>0</v>
      </c>
    </row>
    <row r="42" spans="1:16" x14ac:dyDescent="0.25">
      <c r="A42" s="1"/>
      <c r="B42" s="1" t="s">
        <v>10</v>
      </c>
      <c r="C42" s="46"/>
      <c r="D42" s="46"/>
      <c r="E42" s="46"/>
      <c r="F42" s="46"/>
      <c r="G42" s="46"/>
      <c r="H42" s="46"/>
      <c r="I42" s="46">
        <v>300</v>
      </c>
      <c r="J42" s="46"/>
      <c r="K42" s="46"/>
      <c r="L42" s="46"/>
      <c r="M42" s="46"/>
      <c r="N42" s="46"/>
      <c r="O42" s="43">
        <f t="shared" si="3"/>
        <v>300</v>
      </c>
      <c r="P42" s="12">
        <f t="shared" si="4"/>
        <v>0</v>
      </c>
    </row>
    <row r="43" spans="1:16" x14ac:dyDescent="0.25">
      <c r="A43" s="1"/>
      <c r="B43" s="1" t="s">
        <v>11</v>
      </c>
      <c r="C43" s="46"/>
      <c r="D43" s="46"/>
      <c r="E43" s="46"/>
      <c r="F43" s="46"/>
      <c r="G43" s="46">
        <v>1000</v>
      </c>
      <c r="H43" s="46"/>
      <c r="I43" s="46">
        <v>1000</v>
      </c>
      <c r="J43" s="46"/>
      <c r="K43" s="46"/>
      <c r="L43" s="46"/>
      <c r="M43" s="46"/>
      <c r="N43" s="46"/>
      <c r="O43" s="43">
        <f t="shared" si="3"/>
        <v>2000</v>
      </c>
      <c r="P43" s="12">
        <f t="shared" si="4"/>
        <v>0</v>
      </c>
    </row>
    <row r="44" spans="1:16" x14ac:dyDescent="0.25">
      <c r="A44" s="1"/>
      <c r="B44" s="1" t="s">
        <v>12</v>
      </c>
      <c r="C44" s="46"/>
      <c r="D44" s="46"/>
      <c r="E44" s="46"/>
      <c r="F44" s="46"/>
      <c r="G44" s="46">
        <v>1000</v>
      </c>
      <c r="H44" s="46">
        <v>2500</v>
      </c>
      <c r="I44" s="46">
        <v>2500</v>
      </c>
      <c r="J44" s="46">
        <v>2000</v>
      </c>
      <c r="K44" s="46"/>
      <c r="L44" s="46"/>
      <c r="M44" s="46"/>
      <c r="N44" s="46"/>
      <c r="O44" s="43">
        <f t="shared" si="3"/>
        <v>8000</v>
      </c>
      <c r="P44" s="12">
        <f t="shared" si="4"/>
        <v>0</v>
      </c>
    </row>
    <row r="45" spans="1:16" x14ac:dyDescent="0.25">
      <c r="A45" s="1"/>
      <c r="B45" s="1" t="s">
        <v>13</v>
      </c>
      <c r="C45" s="46"/>
      <c r="D45" s="46"/>
      <c r="E45" s="46"/>
      <c r="F45" s="46"/>
      <c r="G45" s="46">
        <v>9500</v>
      </c>
      <c r="H45" s="46"/>
      <c r="I45" s="46"/>
      <c r="J45" s="46"/>
      <c r="K45" s="46"/>
      <c r="L45" s="46"/>
      <c r="M45" s="46"/>
      <c r="N45" s="46"/>
      <c r="O45" s="43">
        <f t="shared" si="3"/>
        <v>9500</v>
      </c>
      <c r="P45" s="12">
        <f t="shared" si="4"/>
        <v>0</v>
      </c>
    </row>
    <row r="46" spans="1:16" x14ac:dyDescent="0.25">
      <c r="A46" s="1"/>
      <c r="B46" s="1" t="s">
        <v>14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3">
        <f t="shared" si="3"/>
        <v>0</v>
      </c>
      <c r="P46" s="12">
        <f t="shared" si="4"/>
        <v>0</v>
      </c>
    </row>
    <row r="47" spans="1:16" x14ac:dyDescent="0.25">
      <c r="A47" s="1"/>
      <c r="B47" s="1" t="s">
        <v>15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3">
        <f t="shared" si="3"/>
        <v>0</v>
      </c>
      <c r="P47" s="12">
        <f t="shared" si="4"/>
        <v>0</v>
      </c>
    </row>
    <row r="48" spans="1:16" x14ac:dyDescent="0.25">
      <c r="A48" s="1"/>
      <c r="B48" s="1" t="s">
        <v>16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3">
        <f t="shared" si="3"/>
        <v>0</v>
      </c>
      <c r="P48" s="12">
        <f t="shared" si="4"/>
        <v>0</v>
      </c>
    </row>
    <row r="49" spans="1:16" x14ac:dyDescent="0.25">
      <c r="A49" s="1"/>
      <c r="B49" s="1" t="s">
        <v>17</v>
      </c>
      <c r="C49" s="46"/>
      <c r="D49" s="46"/>
      <c r="E49" s="46"/>
      <c r="F49" s="46"/>
      <c r="G49" s="46">
        <v>100</v>
      </c>
      <c r="H49" s="46">
        <v>800</v>
      </c>
      <c r="I49" s="46">
        <v>800</v>
      </c>
      <c r="J49" s="46">
        <v>300</v>
      </c>
      <c r="K49" s="46"/>
      <c r="L49" s="46"/>
      <c r="M49" s="46"/>
      <c r="N49" s="46"/>
      <c r="O49" s="43">
        <f t="shared" si="3"/>
        <v>2000</v>
      </c>
      <c r="P49" s="12">
        <f t="shared" si="4"/>
        <v>0</v>
      </c>
    </row>
    <row r="50" spans="1:16" x14ac:dyDescent="0.25">
      <c r="A50" s="1"/>
      <c r="B50" s="1" t="s">
        <v>18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3">
        <f t="shared" si="3"/>
        <v>0</v>
      </c>
      <c r="P50" s="12">
        <f t="shared" si="4"/>
        <v>0</v>
      </c>
    </row>
    <row r="51" spans="1:16" x14ac:dyDescent="0.25">
      <c r="A51" s="1"/>
      <c r="B51" s="1" t="s">
        <v>19</v>
      </c>
      <c r="C51" s="46">
        <v>170</v>
      </c>
      <c r="D51" s="46">
        <v>170</v>
      </c>
      <c r="E51" s="46">
        <v>160</v>
      </c>
      <c r="F51" s="46">
        <v>160</v>
      </c>
      <c r="G51" s="46">
        <v>170</v>
      </c>
      <c r="H51" s="46">
        <v>170</v>
      </c>
      <c r="I51" s="46">
        <v>170</v>
      </c>
      <c r="J51" s="46">
        <v>170</v>
      </c>
      <c r="K51" s="46">
        <v>170</v>
      </c>
      <c r="L51" s="46">
        <v>170</v>
      </c>
      <c r="M51" s="46">
        <v>180</v>
      </c>
      <c r="N51" s="46">
        <v>350</v>
      </c>
      <c r="O51" s="43">
        <f t="shared" si="3"/>
        <v>2210</v>
      </c>
      <c r="P51" s="12">
        <f t="shared" si="4"/>
        <v>0</v>
      </c>
    </row>
    <row r="52" spans="1:16" x14ac:dyDescent="0.25">
      <c r="A52" s="1"/>
      <c r="B52" s="1" t="s">
        <v>20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3">
        <f t="shared" si="3"/>
        <v>0</v>
      </c>
      <c r="P52" s="12">
        <f t="shared" si="4"/>
        <v>0</v>
      </c>
    </row>
    <row r="53" spans="1:16" x14ac:dyDescent="0.25">
      <c r="A53" s="1"/>
      <c r="B53" s="1" t="s">
        <v>21</v>
      </c>
      <c r="C53" s="46">
        <v>40</v>
      </c>
      <c r="D53" s="46">
        <v>40</v>
      </c>
      <c r="E53" s="46">
        <v>40</v>
      </c>
      <c r="F53" s="46">
        <v>40</v>
      </c>
      <c r="G53" s="46">
        <v>40</v>
      </c>
      <c r="H53" s="46"/>
      <c r="I53" s="46">
        <v>40</v>
      </c>
      <c r="J53" s="46">
        <v>40</v>
      </c>
      <c r="K53" s="46">
        <v>40</v>
      </c>
      <c r="L53" s="46">
        <v>40</v>
      </c>
      <c r="M53" s="46"/>
      <c r="N53" s="46">
        <v>40</v>
      </c>
      <c r="O53" s="43">
        <f t="shared" si="3"/>
        <v>400</v>
      </c>
      <c r="P53" s="12">
        <f t="shared" si="4"/>
        <v>0</v>
      </c>
    </row>
    <row r="54" spans="1:16" ht="15.75" thickBot="1" x14ac:dyDescent="0.3">
      <c r="A54" s="1"/>
      <c r="B54" s="1" t="s">
        <v>22</v>
      </c>
      <c r="C54" s="46"/>
      <c r="D54" s="46"/>
      <c r="E54" s="46"/>
      <c r="F54" s="46">
        <v>500</v>
      </c>
      <c r="G54" s="46">
        <v>500</v>
      </c>
      <c r="H54" s="46">
        <v>500</v>
      </c>
      <c r="I54" s="46">
        <v>500</v>
      </c>
      <c r="J54" s="46"/>
      <c r="K54" s="46"/>
      <c r="L54" s="46"/>
      <c r="M54" s="46"/>
      <c r="N54" s="46"/>
      <c r="O54" s="43">
        <f t="shared" si="3"/>
        <v>2000</v>
      </c>
      <c r="P54" s="12">
        <f t="shared" si="4"/>
        <v>0</v>
      </c>
    </row>
    <row r="55" spans="1:16" ht="15.75" thickBot="1" x14ac:dyDescent="0.3">
      <c r="A55" s="1" t="s">
        <v>23</v>
      </c>
      <c r="B55" s="1"/>
      <c r="C55" s="7">
        <f t="shared" ref="C55:O55" si="5">ROUND(SUM(C32:C54),5)</f>
        <v>510</v>
      </c>
      <c r="D55" s="7">
        <f t="shared" si="5"/>
        <v>510</v>
      </c>
      <c r="E55" s="7">
        <f t="shared" si="5"/>
        <v>500</v>
      </c>
      <c r="F55" s="7">
        <f t="shared" si="5"/>
        <v>1000</v>
      </c>
      <c r="G55" s="7">
        <f t="shared" si="5"/>
        <v>19685</v>
      </c>
      <c r="H55" s="7">
        <f t="shared" si="5"/>
        <v>6045</v>
      </c>
      <c r="I55" s="7">
        <f t="shared" si="5"/>
        <v>7085</v>
      </c>
      <c r="J55" s="7">
        <f t="shared" si="5"/>
        <v>3285</v>
      </c>
      <c r="K55" s="7">
        <f t="shared" si="5"/>
        <v>885</v>
      </c>
      <c r="L55" s="7">
        <f t="shared" si="5"/>
        <v>785</v>
      </c>
      <c r="M55" s="7">
        <f t="shared" si="5"/>
        <v>780</v>
      </c>
      <c r="N55" s="7">
        <f t="shared" si="5"/>
        <v>1140</v>
      </c>
      <c r="O55" s="7">
        <f t="shared" si="5"/>
        <v>42210</v>
      </c>
    </row>
    <row r="56" spans="1:16" ht="15.75" thickTop="1" x14ac:dyDescent="0.25"/>
  </sheetData>
  <mergeCells count="1">
    <mergeCell ref="M1:Q1"/>
  </mergeCells>
  <pageMargins left="0.7" right="0.7" top="0.75" bottom="0.75" header="0.3" footer="0.3"/>
  <pageSetup scale="59" orientation="portrait" r:id="rId1"/>
  <ignoredErrors>
    <ignoredError sqref="N14" formula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R38"/>
  <sheetViews>
    <sheetView workbookViewId="0">
      <pane xSplit="2" ySplit="2" topLeftCell="F3" activePane="bottomRight" state="frozen"/>
      <selection activeCell="G29" sqref="G29"/>
      <selection pane="topRight" activeCell="G29" sqref="G29"/>
      <selection pane="bottomLeft" activeCell="G29" sqref="G29"/>
      <selection pane="bottomRight" activeCell="G29" sqref="G29"/>
    </sheetView>
  </sheetViews>
  <sheetFormatPr defaultRowHeight="15" x14ac:dyDescent="0.25"/>
  <cols>
    <col min="2" max="2" width="32.42578125" bestFit="1" customWidth="1"/>
    <col min="3" max="3" width="9.85546875" bestFit="1" customWidth="1"/>
  </cols>
  <sheetData>
    <row r="1" spans="1:18" x14ac:dyDescent="0.25">
      <c r="A1" s="51">
        <f>'Master Input Tab'!B3</f>
        <v>1.4999999999999999E-2</v>
      </c>
      <c r="K1" t="s">
        <v>170</v>
      </c>
      <c r="M1" s="90" t="s">
        <v>132</v>
      </c>
      <c r="N1" s="91"/>
      <c r="O1" s="91"/>
      <c r="P1" s="91"/>
      <c r="Q1" s="92"/>
      <c r="R1" s="8" t="s">
        <v>134</v>
      </c>
    </row>
    <row r="2" spans="1:18" ht="15.75" thickBot="1" x14ac:dyDescent="0.3">
      <c r="A2" s="52">
        <f>'Master Input Tab'!B4</f>
        <v>0.03</v>
      </c>
      <c r="C2" s="5">
        <v>2005</v>
      </c>
      <c r="D2" s="6">
        <v>2006</v>
      </c>
      <c r="E2" s="6">
        <v>2007</v>
      </c>
      <c r="F2" s="6">
        <v>2008</v>
      </c>
      <c r="G2" s="6">
        <v>2009</v>
      </c>
      <c r="H2" s="6">
        <v>2010</v>
      </c>
      <c r="I2" s="6">
        <v>2011</v>
      </c>
      <c r="J2" s="6">
        <v>2012</v>
      </c>
      <c r="K2" s="6">
        <v>2013</v>
      </c>
      <c r="L2" s="6" t="s">
        <v>171</v>
      </c>
      <c r="M2" s="81" t="str">
        <f>'Total Summary'!$H$4</f>
        <v>2014</v>
      </c>
      <c r="N2" s="81">
        <f>'Total Summary'!$I$4</f>
        <v>2015</v>
      </c>
      <c r="O2" s="81">
        <f>'Total Summary'!$J$4</f>
        <v>2016</v>
      </c>
      <c r="P2" s="81">
        <f>'Total Summary'!$K$4</f>
        <v>2017</v>
      </c>
      <c r="Q2" s="81">
        <f>'Total Summary'!$L$4</f>
        <v>2018</v>
      </c>
    </row>
    <row r="3" spans="1:18" x14ac:dyDescent="0.25">
      <c r="A3" s="1" t="s">
        <v>32</v>
      </c>
      <c r="C3" s="2"/>
      <c r="D3" s="2"/>
      <c r="E3" s="2"/>
      <c r="F3" s="2"/>
      <c r="G3" s="2"/>
      <c r="H3" s="2"/>
      <c r="I3" s="2"/>
      <c r="J3" s="2"/>
    </row>
    <row r="4" spans="1:18" x14ac:dyDescent="0.25">
      <c r="A4" s="1"/>
      <c r="B4" s="1" t="s">
        <v>33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300</v>
      </c>
      <c r="K4" s="2">
        <v>0</v>
      </c>
      <c r="L4" s="2">
        <f>SUM(C4:K4)/10</f>
        <v>30</v>
      </c>
      <c r="M4" s="41">
        <v>900</v>
      </c>
      <c r="N4" s="53">
        <f>+M4*(1+$A$1)</f>
        <v>913.49999999999989</v>
      </c>
      <c r="O4" s="53">
        <f t="shared" ref="O4:Q4" si="0">+N4*(1+$A$1)</f>
        <v>927.20249999999976</v>
      </c>
      <c r="P4" s="53">
        <f t="shared" si="0"/>
        <v>941.11053749999962</v>
      </c>
      <c r="Q4" s="53">
        <f t="shared" si="0"/>
        <v>955.22719556249956</v>
      </c>
    </row>
    <row r="5" spans="1:18" x14ac:dyDescent="0.25">
      <c r="A5" s="1"/>
      <c r="B5" s="1" t="s">
        <v>34</v>
      </c>
      <c r="C5" s="2">
        <v>1342.73</v>
      </c>
      <c r="D5" s="2">
        <v>1576.3</v>
      </c>
      <c r="E5" s="2">
        <v>73.44</v>
      </c>
      <c r="F5" s="2">
        <v>0</v>
      </c>
      <c r="G5" s="2">
        <v>0</v>
      </c>
      <c r="H5" s="2">
        <v>0</v>
      </c>
      <c r="I5" s="2">
        <v>613.29</v>
      </c>
      <c r="J5" s="2">
        <v>307.36</v>
      </c>
      <c r="K5" s="2">
        <v>0</v>
      </c>
      <c r="L5" s="2">
        <f t="shared" ref="L5:L9" si="1">SUM(C5:K5)/10</f>
        <v>391.31200000000001</v>
      </c>
      <c r="M5" s="41">
        <v>100</v>
      </c>
      <c r="N5" s="53">
        <v>500</v>
      </c>
      <c r="O5" s="53">
        <v>250</v>
      </c>
      <c r="P5" s="53">
        <v>250</v>
      </c>
      <c r="Q5" s="53">
        <v>250</v>
      </c>
    </row>
    <row r="6" spans="1:18" x14ac:dyDescent="0.25">
      <c r="A6" s="1"/>
      <c r="B6" s="1" t="s">
        <v>35</v>
      </c>
      <c r="C6" s="2">
        <v>956.78</v>
      </c>
      <c r="D6" s="2">
        <v>905.88</v>
      </c>
      <c r="E6" s="2">
        <v>1017.5</v>
      </c>
      <c r="F6" s="2">
        <v>692.35</v>
      </c>
      <c r="G6" s="2">
        <v>995.2</v>
      </c>
      <c r="H6" s="2">
        <v>993.36</v>
      </c>
      <c r="I6" s="2">
        <v>737.18</v>
      </c>
      <c r="J6" s="2">
        <v>803.37</v>
      </c>
      <c r="K6" s="2">
        <f>VLOOKUP(B6,Summary!G:H,2,FALSE)/8*12</f>
        <v>654.72</v>
      </c>
      <c r="L6" s="2">
        <f t="shared" si="1"/>
        <v>775.63400000000001</v>
      </c>
      <c r="M6" s="41">
        <v>720</v>
      </c>
      <c r="N6" s="53">
        <f t="shared" ref="N6:Q6" si="2">+M6*(1+$A$1)</f>
        <v>730.8</v>
      </c>
      <c r="O6" s="53">
        <f t="shared" si="2"/>
        <v>741.76199999999983</v>
      </c>
      <c r="P6" s="53">
        <f t="shared" si="2"/>
        <v>752.88842999999974</v>
      </c>
      <c r="Q6" s="53">
        <f t="shared" si="2"/>
        <v>764.18175644999963</v>
      </c>
    </row>
    <row r="7" spans="1:18" x14ac:dyDescent="0.25">
      <c r="A7" s="1"/>
      <c r="B7" s="1" t="s">
        <v>36</v>
      </c>
      <c r="C7" s="2">
        <v>337.85</v>
      </c>
      <c r="D7" s="2">
        <v>270.72000000000003</v>
      </c>
      <c r="E7" s="2">
        <v>512.13</v>
      </c>
      <c r="F7" s="2">
        <v>502.95</v>
      </c>
      <c r="G7" s="2">
        <v>196.35</v>
      </c>
      <c r="H7" s="2">
        <v>331.54</v>
      </c>
      <c r="I7" s="2">
        <v>527.87</v>
      </c>
      <c r="J7" s="2">
        <v>583.66999999999996</v>
      </c>
      <c r="K7" s="2">
        <f>VLOOKUP(B7,Summary!G:H,2,FALSE)/8*12</f>
        <v>196.125</v>
      </c>
      <c r="L7" s="2">
        <f t="shared" si="1"/>
        <v>345.9205</v>
      </c>
      <c r="M7" s="41">
        <v>240</v>
      </c>
      <c r="N7" s="53">
        <f t="shared" ref="N7:Q7" si="3">+M7*(1+$A$1)</f>
        <v>243.59999999999997</v>
      </c>
      <c r="O7" s="53">
        <f t="shared" si="3"/>
        <v>247.25399999999993</v>
      </c>
      <c r="P7" s="53">
        <f t="shared" si="3"/>
        <v>250.96280999999991</v>
      </c>
      <c r="Q7" s="53">
        <f t="shared" si="3"/>
        <v>254.72725214999988</v>
      </c>
    </row>
    <row r="8" spans="1:18" x14ac:dyDescent="0.25">
      <c r="A8" s="1"/>
      <c r="B8" s="1" t="s">
        <v>37</v>
      </c>
      <c r="C8" s="2">
        <v>248.58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f t="shared" si="1"/>
        <v>24.858000000000001</v>
      </c>
      <c r="M8" s="41">
        <v>0</v>
      </c>
      <c r="N8" s="53">
        <v>0</v>
      </c>
      <c r="O8" s="53">
        <v>0</v>
      </c>
      <c r="P8" s="53">
        <v>0</v>
      </c>
      <c r="Q8" s="53">
        <v>0</v>
      </c>
    </row>
    <row r="9" spans="1:18" ht="15.75" thickBot="1" x14ac:dyDescent="0.3">
      <c r="A9" s="1"/>
      <c r="B9" s="1" t="s">
        <v>38</v>
      </c>
      <c r="C9" s="3">
        <v>3659.84</v>
      </c>
      <c r="D9" s="3">
        <v>1957.95</v>
      </c>
      <c r="E9" s="3">
        <v>1692.32</v>
      </c>
      <c r="F9" s="3">
        <v>737.97</v>
      </c>
      <c r="G9" s="3">
        <v>184.76</v>
      </c>
      <c r="H9" s="3">
        <v>289.7</v>
      </c>
      <c r="I9" s="3">
        <v>968.7</v>
      </c>
      <c r="J9" s="3">
        <v>511.78</v>
      </c>
      <c r="K9" s="3">
        <f>VLOOKUP(B9,Summary!G:H,2,FALSE)/8*12</f>
        <v>348.435</v>
      </c>
      <c r="L9" s="3">
        <f t="shared" si="1"/>
        <v>1035.1455000000001</v>
      </c>
      <c r="M9" s="40">
        <v>400</v>
      </c>
      <c r="N9" s="54">
        <f>M9</f>
        <v>400</v>
      </c>
      <c r="O9" s="54">
        <v>0</v>
      </c>
      <c r="P9" s="54">
        <v>0</v>
      </c>
      <c r="Q9" s="54">
        <v>0</v>
      </c>
    </row>
    <row r="10" spans="1:18" x14ac:dyDescent="0.25">
      <c r="A10" s="1" t="s">
        <v>39</v>
      </c>
      <c r="C10" s="2">
        <f t="shared" ref="C10:L10" si="4">ROUND(SUM(C3:C9),5)</f>
        <v>6545.78</v>
      </c>
      <c r="D10" s="2">
        <f t="shared" si="4"/>
        <v>4710.8500000000004</v>
      </c>
      <c r="E10" s="2">
        <f t="shared" si="4"/>
        <v>3295.39</v>
      </c>
      <c r="F10" s="2">
        <f t="shared" si="4"/>
        <v>1933.27</v>
      </c>
      <c r="G10" s="2">
        <f t="shared" si="4"/>
        <v>1376.31</v>
      </c>
      <c r="H10" s="2">
        <f t="shared" si="4"/>
        <v>1614.6</v>
      </c>
      <c r="I10" s="2">
        <f t="shared" si="4"/>
        <v>2847.04</v>
      </c>
      <c r="J10" s="2">
        <f t="shared" si="4"/>
        <v>2506.1799999999998</v>
      </c>
      <c r="K10" s="2">
        <f t="shared" si="4"/>
        <v>1199.28</v>
      </c>
      <c r="L10" s="2">
        <f t="shared" si="4"/>
        <v>2602.87</v>
      </c>
      <c r="M10" s="2">
        <f>SUM(M4:M9)</f>
        <v>2360</v>
      </c>
      <c r="N10" s="2">
        <f t="shared" ref="N10:Q10" si="5">SUM(N4:N9)</f>
        <v>2787.9</v>
      </c>
      <c r="O10" s="2">
        <f t="shared" si="5"/>
        <v>2166.2184999999995</v>
      </c>
      <c r="P10" s="2">
        <f t="shared" si="5"/>
        <v>2194.9617774999992</v>
      </c>
      <c r="Q10" s="2">
        <f t="shared" si="5"/>
        <v>2224.1362041624993</v>
      </c>
    </row>
    <row r="14" spans="1:18" x14ac:dyDescent="0.25">
      <c r="A14" s="8" t="s">
        <v>133</v>
      </c>
      <c r="B14" s="8"/>
    </row>
    <row r="15" spans="1:18" x14ac:dyDescent="0.25">
      <c r="A15" s="10"/>
      <c r="C15" t="s">
        <v>120</v>
      </c>
      <c r="D15" t="s">
        <v>121</v>
      </c>
      <c r="E15" t="s">
        <v>122</v>
      </c>
      <c r="F15" t="s">
        <v>129</v>
      </c>
      <c r="G15" t="s">
        <v>130</v>
      </c>
      <c r="H15" t="s">
        <v>31</v>
      </c>
      <c r="I15" t="s">
        <v>24</v>
      </c>
      <c r="J15" t="s">
        <v>26</v>
      </c>
      <c r="K15" t="s">
        <v>27</v>
      </c>
      <c r="L15" t="s">
        <v>25</v>
      </c>
      <c r="M15" t="s">
        <v>28</v>
      </c>
      <c r="N15" t="s">
        <v>29</v>
      </c>
      <c r="O15" t="s">
        <v>30</v>
      </c>
      <c r="P15" t="s">
        <v>131</v>
      </c>
    </row>
    <row r="16" spans="1:18" x14ac:dyDescent="0.25">
      <c r="A16" s="1" t="s">
        <v>32</v>
      </c>
    </row>
    <row r="17" spans="1:16" x14ac:dyDescent="0.25">
      <c r="A17" s="1"/>
      <c r="B17" s="1" t="s">
        <v>33</v>
      </c>
      <c r="C17" s="48"/>
      <c r="D17" s="46"/>
      <c r="E17" s="46"/>
      <c r="F17" s="46">
        <v>300</v>
      </c>
      <c r="G17" s="46">
        <v>300</v>
      </c>
      <c r="H17" s="46">
        <v>300</v>
      </c>
      <c r="I17" s="46"/>
      <c r="J17" s="46"/>
      <c r="K17" s="46"/>
      <c r="L17" s="46"/>
      <c r="M17" s="46"/>
      <c r="N17" s="46"/>
      <c r="O17" s="43">
        <f t="shared" ref="O17:O22" si="6">SUM(C17:N17)</f>
        <v>900</v>
      </c>
      <c r="P17" s="12">
        <f>+O17-M4</f>
        <v>0</v>
      </c>
    </row>
    <row r="18" spans="1:16" x14ac:dyDescent="0.25">
      <c r="A18" s="1"/>
      <c r="B18" s="1" t="s">
        <v>34</v>
      </c>
      <c r="C18" s="46"/>
      <c r="D18" s="46"/>
      <c r="E18" s="46"/>
      <c r="F18" s="46">
        <v>100</v>
      </c>
      <c r="G18" s="46"/>
      <c r="H18" s="47"/>
      <c r="I18" s="46"/>
      <c r="J18" s="46"/>
      <c r="K18" s="46"/>
      <c r="L18" s="46"/>
      <c r="M18" s="46"/>
      <c r="N18" s="46"/>
      <c r="O18" s="43">
        <f t="shared" si="6"/>
        <v>100</v>
      </c>
      <c r="P18" s="12">
        <f t="shared" ref="P18:P22" si="7">+O18-M5</f>
        <v>0</v>
      </c>
    </row>
    <row r="19" spans="1:16" x14ac:dyDescent="0.25">
      <c r="A19" s="1"/>
      <c r="B19" s="1" t="s">
        <v>35</v>
      </c>
      <c r="C19" s="46">
        <f>$M6/12</f>
        <v>60</v>
      </c>
      <c r="D19" s="46">
        <f t="shared" ref="D19:N19" si="8">$M6/12</f>
        <v>60</v>
      </c>
      <c r="E19" s="46">
        <f t="shared" si="8"/>
        <v>60</v>
      </c>
      <c r="F19" s="46">
        <f t="shared" si="8"/>
        <v>60</v>
      </c>
      <c r="G19" s="46">
        <f t="shared" si="8"/>
        <v>60</v>
      </c>
      <c r="H19" s="46">
        <f t="shared" si="8"/>
        <v>60</v>
      </c>
      <c r="I19" s="46">
        <f t="shared" si="8"/>
        <v>60</v>
      </c>
      <c r="J19" s="46">
        <f t="shared" si="8"/>
        <v>60</v>
      </c>
      <c r="K19" s="46">
        <f t="shared" si="8"/>
        <v>60</v>
      </c>
      <c r="L19" s="46">
        <f t="shared" si="8"/>
        <v>60</v>
      </c>
      <c r="M19" s="46">
        <f t="shared" si="8"/>
        <v>60</v>
      </c>
      <c r="N19" s="46">
        <f t="shared" si="8"/>
        <v>60</v>
      </c>
      <c r="O19" s="43">
        <f t="shared" si="6"/>
        <v>720</v>
      </c>
      <c r="P19" s="12">
        <f t="shared" si="7"/>
        <v>0</v>
      </c>
    </row>
    <row r="20" spans="1:16" x14ac:dyDescent="0.25">
      <c r="A20" s="1"/>
      <c r="B20" s="1" t="s">
        <v>36</v>
      </c>
      <c r="C20" s="46">
        <f>$M7/12</f>
        <v>20</v>
      </c>
      <c r="D20" s="46">
        <f t="shared" ref="D20:N20" si="9">$M7/12</f>
        <v>20</v>
      </c>
      <c r="E20" s="46">
        <f t="shared" si="9"/>
        <v>20</v>
      </c>
      <c r="F20" s="46">
        <f t="shared" si="9"/>
        <v>20</v>
      </c>
      <c r="G20" s="46">
        <f t="shared" si="9"/>
        <v>20</v>
      </c>
      <c r="H20" s="46">
        <f t="shared" si="9"/>
        <v>20</v>
      </c>
      <c r="I20" s="46">
        <f t="shared" si="9"/>
        <v>20</v>
      </c>
      <c r="J20" s="46">
        <f t="shared" si="9"/>
        <v>20</v>
      </c>
      <c r="K20" s="46">
        <f t="shared" si="9"/>
        <v>20</v>
      </c>
      <c r="L20" s="46">
        <f t="shared" si="9"/>
        <v>20</v>
      </c>
      <c r="M20" s="46">
        <f t="shared" si="9"/>
        <v>20</v>
      </c>
      <c r="N20" s="46">
        <f t="shared" si="9"/>
        <v>20</v>
      </c>
      <c r="O20" s="43">
        <f t="shared" si="6"/>
        <v>240</v>
      </c>
      <c r="P20" s="12">
        <f t="shared" si="7"/>
        <v>0</v>
      </c>
    </row>
    <row r="21" spans="1:16" x14ac:dyDescent="0.25">
      <c r="A21" s="1"/>
      <c r="B21" s="1" t="s">
        <v>37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3">
        <f t="shared" si="6"/>
        <v>0</v>
      </c>
      <c r="P21" s="12">
        <f t="shared" si="7"/>
        <v>0</v>
      </c>
    </row>
    <row r="22" spans="1:16" ht="15.75" thickBot="1" x14ac:dyDescent="0.3">
      <c r="A22" s="1"/>
      <c r="B22" s="1" t="s">
        <v>38</v>
      </c>
      <c r="C22" s="46"/>
      <c r="D22" s="46"/>
      <c r="E22" s="46"/>
      <c r="F22" s="46"/>
      <c r="G22" s="46">
        <v>200</v>
      </c>
      <c r="H22" s="46">
        <v>200</v>
      </c>
      <c r="I22" s="46"/>
      <c r="J22" s="46"/>
      <c r="K22" s="46"/>
      <c r="L22" s="46"/>
      <c r="M22" s="46"/>
      <c r="N22" s="46"/>
      <c r="O22" s="43">
        <f t="shared" si="6"/>
        <v>400</v>
      </c>
      <c r="P22" s="12">
        <f t="shared" si="7"/>
        <v>0</v>
      </c>
    </row>
    <row r="23" spans="1:16" ht="15.75" thickBot="1" x14ac:dyDescent="0.3">
      <c r="A23" s="1" t="s">
        <v>39</v>
      </c>
      <c r="B23" s="1"/>
      <c r="C23" s="7">
        <f t="shared" ref="C23:P23" si="10">ROUND(SUM(C16:C22),5)</f>
        <v>80</v>
      </c>
      <c r="D23" s="7">
        <f t="shared" si="10"/>
        <v>80</v>
      </c>
      <c r="E23" s="7">
        <f t="shared" si="10"/>
        <v>80</v>
      </c>
      <c r="F23" s="7">
        <f t="shared" si="10"/>
        <v>480</v>
      </c>
      <c r="G23" s="7">
        <f t="shared" si="10"/>
        <v>580</v>
      </c>
      <c r="H23" s="7">
        <f t="shared" si="10"/>
        <v>580</v>
      </c>
      <c r="I23" s="7">
        <f t="shared" si="10"/>
        <v>80</v>
      </c>
      <c r="J23" s="7">
        <f t="shared" si="10"/>
        <v>80</v>
      </c>
      <c r="K23" s="7">
        <f t="shared" si="10"/>
        <v>80</v>
      </c>
      <c r="L23" s="7">
        <f t="shared" si="10"/>
        <v>80</v>
      </c>
      <c r="M23" s="7">
        <f t="shared" si="10"/>
        <v>80</v>
      </c>
      <c r="N23" s="7">
        <f t="shared" si="10"/>
        <v>80</v>
      </c>
      <c r="O23" s="7">
        <f t="shared" si="10"/>
        <v>2360</v>
      </c>
      <c r="P23" s="7">
        <f t="shared" si="10"/>
        <v>0</v>
      </c>
    </row>
    <row r="24" spans="1:16" ht="15.75" thickTop="1" x14ac:dyDescent="0.2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x14ac:dyDescent="0.2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x14ac:dyDescent="0.2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x14ac:dyDescent="0.2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x14ac:dyDescent="0.2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x14ac:dyDescent="0.25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x14ac:dyDescent="0.2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x14ac:dyDescent="0.2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x14ac:dyDescent="0.2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3:16" x14ac:dyDescent="0.2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3:16" x14ac:dyDescent="0.2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3:16" x14ac:dyDescent="0.2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3:16" x14ac:dyDescent="0.2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3:16" x14ac:dyDescent="0.2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3:16" x14ac:dyDescent="0.2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</sheetData>
  <mergeCells count="1">
    <mergeCell ref="M1:Q1"/>
  </mergeCells>
  <pageMargins left="0.7" right="0.7" top="0.75" bottom="0.75" header="0.3" footer="0.3"/>
  <pageSetup scale="64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rgb="FFFFFF00"/>
    <pageSetUpPr fitToPage="1"/>
  </sheetPr>
  <dimension ref="A1:R58"/>
  <sheetViews>
    <sheetView workbookViewId="0">
      <pane xSplit="2" ySplit="2" topLeftCell="C3" activePane="bottomRight" state="frozen"/>
      <selection activeCell="G29" sqref="G29"/>
      <selection pane="topRight" activeCell="G29" sqref="G29"/>
      <selection pane="bottomLeft" activeCell="G29" sqref="G29"/>
      <selection pane="bottomRight" activeCell="G29" sqref="G29"/>
    </sheetView>
  </sheetViews>
  <sheetFormatPr defaultRowHeight="15" x14ac:dyDescent="0.25"/>
  <cols>
    <col min="2" max="2" width="32.42578125" bestFit="1" customWidth="1"/>
    <col min="3" max="3" width="10" bestFit="1" customWidth="1"/>
    <col min="4" max="14" width="9.28515625" bestFit="1" customWidth="1"/>
    <col min="15" max="15" width="10.42578125" bestFit="1" customWidth="1"/>
    <col min="16" max="16" width="9.5703125" bestFit="1" customWidth="1"/>
  </cols>
  <sheetData>
    <row r="1" spans="1:18" x14ac:dyDescent="0.25">
      <c r="A1" s="51">
        <f>'Master Input Tab'!B3</f>
        <v>1.4999999999999999E-2</v>
      </c>
      <c r="K1" t="s">
        <v>170</v>
      </c>
      <c r="M1" s="90" t="s">
        <v>132</v>
      </c>
      <c r="N1" s="91"/>
      <c r="O1" s="91"/>
      <c r="P1" s="91"/>
      <c r="Q1" s="92"/>
      <c r="R1" s="8" t="s">
        <v>134</v>
      </c>
    </row>
    <row r="2" spans="1:18" ht="15.75" thickBot="1" x14ac:dyDescent="0.3">
      <c r="A2" s="52">
        <f>'Master Input Tab'!B4</f>
        <v>0.03</v>
      </c>
      <c r="C2" s="5">
        <v>2005</v>
      </c>
      <c r="D2" s="6">
        <v>2006</v>
      </c>
      <c r="E2" s="6">
        <v>2007</v>
      </c>
      <c r="F2" s="6">
        <v>2008</v>
      </c>
      <c r="G2" s="6">
        <v>2009</v>
      </c>
      <c r="H2" s="6">
        <v>2010</v>
      </c>
      <c r="I2" s="6">
        <v>2011</v>
      </c>
      <c r="J2" s="6">
        <v>2012</v>
      </c>
      <c r="K2" s="6">
        <v>2013</v>
      </c>
      <c r="L2" s="6" t="s">
        <v>171</v>
      </c>
      <c r="M2" s="81" t="str">
        <f>'Total Summary'!$H$4</f>
        <v>2014</v>
      </c>
      <c r="N2" s="81">
        <f>'Total Summary'!$I$4</f>
        <v>2015</v>
      </c>
      <c r="O2" s="81">
        <f>'Total Summary'!$J$4</f>
        <v>2016</v>
      </c>
      <c r="P2" s="81">
        <f>'Total Summary'!$K$4</f>
        <v>2017</v>
      </c>
      <c r="Q2" s="81">
        <f>'Total Summary'!$L$4</f>
        <v>2018</v>
      </c>
    </row>
    <row r="3" spans="1:18" x14ac:dyDescent="0.25">
      <c r="A3" s="1" t="s">
        <v>40</v>
      </c>
      <c r="B3" s="1"/>
      <c r="C3" s="2"/>
      <c r="D3" s="2"/>
      <c r="E3" s="2"/>
      <c r="F3" s="2"/>
      <c r="G3" s="2"/>
      <c r="H3" s="2"/>
      <c r="I3" s="2"/>
      <c r="J3" s="2"/>
    </row>
    <row r="4" spans="1:18" x14ac:dyDescent="0.25">
      <c r="A4" s="1"/>
      <c r="B4" s="1" t="s">
        <v>41</v>
      </c>
      <c r="C4" s="2">
        <v>2833.5</v>
      </c>
      <c r="D4" s="2">
        <v>1183.42</v>
      </c>
      <c r="E4" s="2">
        <v>1716.06</v>
      </c>
      <c r="F4" s="2">
        <v>4936.5200000000004</v>
      </c>
      <c r="G4" s="2">
        <v>0</v>
      </c>
      <c r="H4" s="2">
        <v>0</v>
      </c>
      <c r="I4" s="2">
        <v>0</v>
      </c>
      <c r="J4" s="2">
        <v>80.73</v>
      </c>
      <c r="K4" s="2">
        <v>0</v>
      </c>
      <c r="L4" s="2">
        <f>SUM(C4:K4)/10</f>
        <v>1075.0229999999999</v>
      </c>
      <c r="M4" s="41">
        <v>200</v>
      </c>
      <c r="N4" s="41">
        <f>1200</f>
        <v>1200</v>
      </c>
      <c r="O4" s="41">
        <v>100</v>
      </c>
      <c r="P4" s="41">
        <v>1200</v>
      </c>
      <c r="Q4" s="41">
        <v>100</v>
      </c>
    </row>
    <row r="5" spans="1:18" x14ac:dyDescent="0.25">
      <c r="A5" s="1"/>
      <c r="B5" s="1" t="s">
        <v>42</v>
      </c>
      <c r="C5" s="2">
        <v>596.16</v>
      </c>
      <c r="D5" s="2">
        <v>63.12</v>
      </c>
      <c r="E5" s="2">
        <v>1662.23</v>
      </c>
      <c r="F5" s="2">
        <v>20.079999999999998</v>
      </c>
      <c r="G5" s="2">
        <v>32.33</v>
      </c>
      <c r="H5" s="2">
        <v>715.06</v>
      </c>
      <c r="I5" s="2">
        <v>720.91</v>
      </c>
      <c r="J5" s="2">
        <v>574.16999999999996</v>
      </c>
      <c r="K5" s="2">
        <v>0</v>
      </c>
      <c r="L5" s="2">
        <v>0</v>
      </c>
      <c r="M5" s="41">
        <v>1500</v>
      </c>
      <c r="N5" s="41">
        <v>1500</v>
      </c>
      <c r="O5" s="41">
        <v>250</v>
      </c>
      <c r="P5" s="41">
        <v>250</v>
      </c>
      <c r="Q5" s="41">
        <v>250</v>
      </c>
    </row>
    <row r="6" spans="1:18" x14ac:dyDescent="0.25">
      <c r="A6" s="1"/>
      <c r="B6" s="1" t="s">
        <v>43</v>
      </c>
      <c r="C6" s="2">
        <v>3826.42</v>
      </c>
      <c r="D6" s="2">
        <v>1819.96</v>
      </c>
      <c r="E6" s="2">
        <v>2264.4699999999998</v>
      </c>
      <c r="F6" s="2">
        <v>1311.68</v>
      </c>
      <c r="G6" s="2">
        <v>1711.55</v>
      </c>
      <c r="H6" s="2">
        <v>994.52</v>
      </c>
      <c r="I6" s="2">
        <v>9886.49</v>
      </c>
      <c r="J6" s="2">
        <v>1761.48</v>
      </c>
      <c r="K6" s="2">
        <f>VLOOKUP(B6,Summary!G:H,2,FALSE)/8*12</f>
        <v>1842.81</v>
      </c>
      <c r="L6" s="2">
        <f t="shared" ref="L6:L13" si="0">SUM(C6:K6)/10</f>
        <v>2541.9380000000001</v>
      </c>
      <c r="M6" s="41">
        <v>900</v>
      </c>
      <c r="N6" s="41">
        <v>900</v>
      </c>
      <c r="O6" s="41">
        <v>250</v>
      </c>
      <c r="P6" s="41">
        <v>250</v>
      </c>
      <c r="Q6" s="41">
        <v>250</v>
      </c>
    </row>
    <row r="7" spans="1:18" x14ac:dyDescent="0.25">
      <c r="A7" s="1"/>
      <c r="B7" s="1" t="s">
        <v>44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189.11</v>
      </c>
      <c r="J7" s="2">
        <v>304</v>
      </c>
      <c r="K7" s="2">
        <v>0</v>
      </c>
      <c r="L7" s="2">
        <f t="shared" si="0"/>
        <v>49.311</v>
      </c>
      <c r="M7" s="41">
        <v>0</v>
      </c>
      <c r="N7" s="53">
        <f>+M7*(1+$A$1)</f>
        <v>0</v>
      </c>
      <c r="O7" s="53">
        <f t="shared" ref="O7:Q8" si="1">+N7*(1+$A$1)</f>
        <v>0</v>
      </c>
      <c r="P7" s="53">
        <f t="shared" si="1"/>
        <v>0</v>
      </c>
      <c r="Q7" s="53">
        <f t="shared" si="1"/>
        <v>0</v>
      </c>
    </row>
    <row r="8" spans="1:18" x14ac:dyDescent="0.25">
      <c r="A8" s="1"/>
      <c r="B8" s="1" t="s">
        <v>45</v>
      </c>
      <c r="C8" s="2">
        <v>808.08</v>
      </c>
      <c r="D8" s="2">
        <v>764.69</v>
      </c>
      <c r="E8" s="2">
        <v>763.42</v>
      </c>
      <c r="F8" s="2">
        <v>778.43</v>
      </c>
      <c r="G8" s="2">
        <v>900.48</v>
      </c>
      <c r="H8" s="2">
        <v>814.51</v>
      </c>
      <c r="I8" s="2">
        <v>860.73</v>
      </c>
      <c r="J8" s="2">
        <v>780.56</v>
      </c>
      <c r="K8" s="2">
        <f>VLOOKUP(B8,Summary!G:H,2,FALSE)/8*12</f>
        <v>1309.5</v>
      </c>
      <c r="L8" s="2">
        <f t="shared" si="0"/>
        <v>778.04</v>
      </c>
      <c r="M8" s="41">
        <v>900</v>
      </c>
      <c r="N8" s="53">
        <f>+M8*(1+$A$1)</f>
        <v>913.49999999999989</v>
      </c>
      <c r="O8" s="53">
        <f t="shared" si="1"/>
        <v>927.20249999999976</v>
      </c>
      <c r="P8" s="53">
        <f t="shared" si="1"/>
        <v>941.11053749999962</v>
      </c>
      <c r="Q8" s="53">
        <f t="shared" si="1"/>
        <v>955.22719556249956</v>
      </c>
    </row>
    <row r="9" spans="1:18" x14ac:dyDescent="0.25">
      <c r="A9" s="1"/>
      <c r="B9" s="1" t="s">
        <v>46</v>
      </c>
      <c r="C9" s="2">
        <v>342.05</v>
      </c>
      <c r="D9" s="2">
        <v>289.16000000000003</v>
      </c>
      <c r="E9" s="2">
        <v>338.73</v>
      </c>
      <c r="F9" s="2">
        <v>428.55</v>
      </c>
      <c r="G9" s="2">
        <v>0</v>
      </c>
      <c r="H9" s="2">
        <v>509.35</v>
      </c>
      <c r="I9" s="2">
        <v>374.56</v>
      </c>
      <c r="J9" s="2">
        <v>350.01</v>
      </c>
      <c r="K9" s="2">
        <f>VLOOKUP(B9,Summary!G:H,2,FALSE)/8*12</f>
        <v>125.72999999999999</v>
      </c>
      <c r="L9" s="2">
        <f t="shared" si="0"/>
        <v>275.81399999999996</v>
      </c>
      <c r="M9" s="42">
        <v>300</v>
      </c>
      <c r="N9" s="53">
        <f t="shared" ref="N9:Q9" si="2">+M9*(1+$A$1)</f>
        <v>304.49999999999994</v>
      </c>
      <c r="O9" s="53">
        <f t="shared" si="2"/>
        <v>309.06749999999994</v>
      </c>
      <c r="P9" s="53">
        <f t="shared" si="2"/>
        <v>313.70351249999993</v>
      </c>
      <c r="Q9" s="53">
        <f t="shared" si="2"/>
        <v>318.40906518749989</v>
      </c>
    </row>
    <row r="10" spans="1:18" x14ac:dyDescent="0.25">
      <c r="A10" s="1"/>
      <c r="B10" s="1" t="s">
        <v>47</v>
      </c>
      <c r="C10" s="2">
        <v>1134.71</v>
      </c>
      <c r="D10" s="2">
        <v>1129.95</v>
      </c>
      <c r="E10" s="2">
        <v>1136.32</v>
      </c>
      <c r="F10" s="2">
        <v>1140.31</v>
      </c>
      <c r="G10" s="2">
        <v>1129.6300000000001</v>
      </c>
      <c r="H10" s="2">
        <v>764.02</v>
      </c>
      <c r="I10" s="2">
        <v>463.57</v>
      </c>
      <c r="J10" s="2">
        <v>505.22</v>
      </c>
      <c r="K10" s="2">
        <f>VLOOKUP(B10,Summary!G:H,2,FALSE)/8*12</f>
        <v>427.47</v>
      </c>
      <c r="L10" s="2">
        <f t="shared" si="0"/>
        <v>783.11999999999989</v>
      </c>
      <c r="M10" s="41">
        <v>480</v>
      </c>
      <c r="N10" s="53">
        <f t="shared" ref="N10:Q10" si="3">+M10*(1+$A$1)</f>
        <v>487.19999999999993</v>
      </c>
      <c r="O10" s="53">
        <f t="shared" si="3"/>
        <v>494.50799999999987</v>
      </c>
      <c r="P10" s="53">
        <f t="shared" si="3"/>
        <v>501.92561999999981</v>
      </c>
      <c r="Q10" s="53">
        <f t="shared" si="3"/>
        <v>509.45450429999977</v>
      </c>
    </row>
    <row r="11" spans="1:18" x14ac:dyDescent="0.25">
      <c r="A11" s="1"/>
      <c r="B11" s="1" t="s">
        <v>48</v>
      </c>
      <c r="C11" s="2">
        <v>630.92999999999995</v>
      </c>
      <c r="D11" s="2">
        <v>0</v>
      </c>
      <c r="E11" s="2">
        <v>0</v>
      </c>
      <c r="F11" s="2">
        <v>3.69</v>
      </c>
      <c r="G11" s="2">
        <v>0</v>
      </c>
      <c r="H11" s="2">
        <v>391.97</v>
      </c>
      <c r="I11" s="2">
        <v>129.59</v>
      </c>
      <c r="J11" s="2">
        <v>14430.63</v>
      </c>
      <c r="K11" s="2">
        <f>VLOOKUP(B11,Summary!G:H,2,FALSE)/8*12</f>
        <v>11.625</v>
      </c>
      <c r="L11" s="2">
        <f t="shared" si="0"/>
        <v>1559.8434999999999</v>
      </c>
      <c r="M11" s="41">
        <v>300</v>
      </c>
      <c r="N11" s="53">
        <f t="shared" ref="N11:Q11" si="4">+M11*(1+$A$1)</f>
        <v>304.49999999999994</v>
      </c>
      <c r="O11" s="53">
        <f t="shared" si="4"/>
        <v>309.06749999999994</v>
      </c>
      <c r="P11" s="53">
        <f t="shared" si="4"/>
        <v>313.70351249999993</v>
      </c>
      <c r="Q11" s="53">
        <f t="shared" si="4"/>
        <v>318.40906518749989</v>
      </c>
    </row>
    <row r="12" spans="1:18" x14ac:dyDescent="0.25">
      <c r="A12" s="1"/>
      <c r="B12" s="1" t="s">
        <v>49</v>
      </c>
      <c r="C12" s="2">
        <v>99.12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f t="shared" si="0"/>
        <v>9.9120000000000008</v>
      </c>
      <c r="M12" s="39">
        <v>0</v>
      </c>
      <c r="N12" s="58">
        <f>M12</f>
        <v>0</v>
      </c>
      <c r="O12" s="58">
        <f t="shared" ref="O12:Q13" si="5">N12</f>
        <v>0</v>
      </c>
      <c r="P12" s="58">
        <f t="shared" si="5"/>
        <v>0</v>
      </c>
      <c r="Q12" s="58">
        <f t="shared" si="5"/>
        <v>0</v>
      </c>
    </row>
    <row r="13" spans="1:18" ht="15.75" thickBot="1" x14ac:dyDescent="0.3">
      <c r="A13" s="1"/>
      <c r="B13" s="1" t="s">
        <v>50</v>
      </c>
      <c r="C13" s="3">
        <v>0</v>
      </c>
      <c r="D13" s="3">
        <v>500.56</v>
      </c>
      <c r="E13" s="3">
        <v>2.68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2">
        <v>0</v>
      </c>
      <c r="L13" s="2">
        <f t="shared" si="0"/>
        <v>50.323999999999998</v>
      </c>
      <c r="M13" s="41">
        <v>0</v>
      </c>
      <c r="N13" s="58">
        <f>M13</f>
        <v>0</v>
      </c>
      <c r="O13" s="58">
        <f t="shared" si="5"/>
        <v>0</v>
      </c>
      <c r="P13" s="58">
        <f t="shared" si="5"/>
        <v>0</v>
      </c>
      <c r="Q13" s="58">
        <f t="shared" si="5"/>
        <v>0</v>
      </c>
    </row>
    <row r="14" spans="1:18" x14ac:dyDescent="0.25">
      <c r="A14" s="1" t="s">
        <v>51</v>
      </c>
      <c r="B14" s="1"/>
      <c r="C14" s="2">
        <f t="shared" ref="C14:K14" si="6">ROUND(SUM(C3:C13),5)</f>
        <v>10270.969999999999</v>
      </c>
      <c r="D14" s="2">
        <f t="shared" si="6"/>
        <v>5750.86</v>
      </c>
      <c r="E14" s="2">
        <f t="shared" si="6"/>
        <v>7883.91</v>
      </c>
      <c r="F14" s="2">
        <f t="shared" si="6"/>
        <v>8619.26</v>
      </c>
      <c r="G14" s="2">
        <f t="shared" si="6"/>
        <v>3773.99</v>
      </c>
      <c r="H14" s="2">
        <f t="shared" si="6"/>
        <v>4189.43</v>
      </c>
      <c r="I14" s="2">
        <f t="shared" si="6"/>
        <v>12624.96</v>
      </c>
      <c r="J14" s="2">
        <f t="shared" si="6"/>
        <v>18786.8</v>
      </c>
      <c r="K14" s="34">
        <f t="shared" si="6"/>
        <v>3717.1350000000002</v>
      </c>
      <c r="L14" s="34">
        <f t="shared" ref="L14:Q14" si="7">ROUND(SUM(L3:L13),5)</f>
        <v>7123.3254999999999</v>
      </c>
      <c r="M14" s="34">
        <f t="shared" si="7"/>
        <v>4580</v>
      </c>
      <c r="N14" s="34">
        <f t="shared" si="7"/>
        <v>5609.7</v>
      </c>
      <c r="O14" s="34">
        <f t="shared" si="7"/>
        <v>2639.8454999999999</v>
      </c>
      <c r="P14" s="34">
        <f t="shared" si="7"/>
        <v>3770.4431800000002</v>
      </c>
      <c r="Q14" s="34">
        <f t="shared" si="7"/>
        <v>2701.4998300000002</v>
      </c>
    </row>
    <row r="17" spans="1:16" x14ac:dyDescent="0.25">
      <c r="A17" s="8" t="s">
        <v>133</v>
      </c>
      <c r="B17" s="8"/>
    </row>
    <row r="18" spans="1:16" x14ac:dyDescent="0.25">
      <c r="A18" s="10"/>
      <c r="C18" t="s">
        <v>120</v>
      </c>
      <c r="D18" t="s">
        <v>121</v>
      </c>
      <c r="E18" t="s">
        <v>122</v>
      </c>
      <c r="F18" t="s">
        <v>129</v>
      </c>
      <c r="G18" t="s">
        <v>130</v>
      </c>
      <c r="H18" t="s">
        <v>31</v>
      </c>
      <c r="I18" t="s">
        <v>24</v>
      </c>
      <c r="J18" t="s">
        <v>26</v>
      </c>
      <c r="K18" t="s">
        <v>27</v>
      </c>
      <c r="L18" t="s">
        <v>25</v>
      </c>
      <c r="M18" t="s">
        <v>28</v>
      </c>
      <c r="N18" t="s">
        <v>29</v>
      </c>
      <c r="O18" t="s">
        <v>30</v>
      </c>
      <c r="P18" t="s">
        <v>131</v>
      </c>
    </row>
    <row r="19" spans="1:16" x14ac:dyDescent="0.25">
      <c r="A19" s="1" t="s">
        <v>40</v>
      </c>
      <c r="B19" s="1"/>
    </row>
    <row r="20" spans="1:16" x14ac:dyDescent="0.25">
      <c r="A20" s="1"/>
      <c r="B20" s="1" t="s">
        <v>41</v>
      </c>
      <c r="C20" s="46"/>
      <c r="D20" s="46"/>
      <c r="E20" s="46"/>
      <c r="F20" s="46"/>
      <c r="G20" s="46">
        <v>200</v>
      </c>
      <c r="H20" s="46"/>
      <c r="I20" s="46"/>
      <c r="J20" s="46"/>
      <c r="K20" s="46"/>
      <c r="L20" s="46"/>
      <c r="M20" s="46"/>
      <c r="N20" s="46"/>
      <c r="O20" s="43">
        <f>SUM(C20:N20)</f>
        <v>200</v>
      </c>
      <c r="P20" s="12">
        <f>+O20-M4</f>
        <v>0</v>
      </c>
    </row>
    <row r="21" spans="1:16" x14ac:dyDescent="0.25">
      <c r="A21" s="1"/>
      <c r="B21" s="1" t="s">
        <v>42</v>
      </c>
      <c r="C21" s="46"/>
      <c r="D21" s="46"/>
      <c r="E21" s="46">
        <v>600</v>
      </c>
      <c r="F21" s="46">
        <v>600</v>
      </c>
      <c r="G21" s="46">
        <v>300</v>
      </c>
      <c r="H21" s="46"/>
      <c r="I21" s="46"/>
      <c r="J21" s="46"/>
      <c r="K21" s="46"/>
      <c r="L21" s="46"/>
      <c r="M21" s="46"/>
      <c r="N21" s="46"/>
      <c r="O21" s="43">
        <f t="shared" ref="O21:O30" si="8">SUM(C21:N21)</f>
        <v>1500</v>
      </c>
      <c r="P21" s="12">
        <f t="shared" ref="P21:P30" si="9">+O21-M5</f>
        <v>0</v>
      </c>
    </row>
    <row r="22" spans="1:16" x14ac:dyDescent="0.25">
      <c r="A22" s="1"/>
      <c r="B22" s="1" t="s">
        <v>43</v>
      </c>
      <c r="C22" s="46"/>
      <c r="D22" s="46"/>
      <c r="E22" s="46"/>
      <c r="F22" s="46"/>
      <c r="G22" s="46">
        <v>300</v>
      </c>
      <c r="H22" s="46">
        <v>300</v>
      </c>
      <c r="I22" s="46">
        <v>300</v>
      </c>
      <c r="J22" s="46"/>
      <c r="K22" s="46"/>
      <c r="L22" s="46"/>
      <c r="M22" s="46"/>
      <c r="N22" s="46"/>
      <c r="O22" s="43">
        <f t="shared" si="8"/>
        <v>900</v>
      </c>
      <c r="P22" s="12">
        <f t="shared" si="9"/>
        <v>0</v>
      </c>
    </row>
    <row r="23" spans="1:16" x14ac:dyDescent="0.25">
      <c r="A23" s="1"/>
      <c r="B23" s="1" t="s">
        <v>44</v>
      </c>
      <c r="C23" s="46">
        <f>$M7/12</f>
        <v>0</v>
      </c>
      <c r="D23" s="46">
        <f t="shared" ref="D23:N23" si="10">$M7/12</f>
        <v>0</v>
      </c>
      <c r="E23" s="46">
        <f t="shared" si="10"/>
        <v>0</v>
      </c>
      <c r="F23" s="46">
        <f t="shared" si="10"/>
        <v>0</v>
      </c>
      <c r="G23" s="46">
        <f t="shared" si="10"/>
        <v>0</v>
      </c>
      <c r="H23" s="46">
        <f t="shared" si="10"/>
        <v>0</v>
      </c>
      <c r="I23" s="46">
        <f t="shared" si="10"/>
        <v>0</v>
      </c>
      <c r="J23" s="46">
        <f t="shared" si="10"/>
        <v>0</v>
      </c>
      <c r="K23" s="46">
        <f t="shared" si="10"/>
        <v>0</v>
      </c>
      <c r="L23" s="46">
        <f t="shared" si="10"/>
        <v>0</v>
      </c>
      <c r="M23" s="46">
        <f t="shared" si="10"/>
        <v>0</v>
      </c>
      <c r="N23" s="46">
        <f t="shared" si="10"/>
        <v>0</v>
      </c>
      <c r="O23" s="43">
        <f t="shared" si="8"/>
        <v>0</v>
      </c>
      <c r="P23" s="12">
        <f t="shared" si="9"/>
        <v>0</v>
      </c>
    </row>
    <row r="24" spans="1:16" x14ac:dyDescent="0.25">
      <c r="A24" s="1"/>
      <c r="B24" s="1" t="s">
        <v>45</v>
      </c>
      <c r="C24" s="46">
        <f>$M8/12</f>
        <v>75</v>
      </c>
      <c r="D24" s="46">
        <f t="shared" ref="D24:N24" si="11">$M8/12</f>
        <v>75</v>
      </c>
      <c r="E24" s="46">
        <f t="shared" si="11"/>
        <v>75</v>
      </c>
      <c r="F24" s="46">
        <f t="shared" si="11"/>
        <v>75</v>
      </c>
      <c r="G24" s="46">
        <f t="shared" si="11"/>
        <v>75</v>
      </c>
      <c r="H24" s="46">
        <f t="shared" si="11"/>
        <v>75</v>
      </c>
      <c r="I24" s="46">
        <f t="shared" si="11"/>
        <v>75</v>
      </c>
      <c r="J24" s="46">
        <f t="shared" si="11"/>
        <v>75</v>
      </c>
      <c r="K24" s="46">
        <f t="shared" si="11"/>
        <v>75</v>
      </c>
      <c r="L24" s="46">
        <f t="shared" si="11"/>
        <v>75</v>
      </c>
      <c r="M24" s="46">
        <f t="shared" si="11"/>
        <v>75</v>
      </c>
      <c r="N24" s="46">
        <f t="shared" si="11"/>
        <v>75</v>
      </c>
      <c r="O24" s="43">
        <f t="shared" si="8"/>
        <v>900</v>
      </c>
      <c r="P24" s="12">
        <f t="shared" si="9"/>
        <v>0</v>
      </c>
    </row>
    <row r="25" spans="1:16" x14ac:dyDescent="0.25">
      <c r="A25" s="1"/>
      <c r="B25" s="1" t="s">
        <v>46</v>
      </c>
      <c r="C25" s="46">
        <f t="shared" ref="C25:N26" si="12">$M9/12</f>
        <v>25</v>
      </c>
      <c r="D25" s="46">
        <f t="shared" si="12"/>
        <v>25</v>
      </c>
      <c r="E25" s="46">
        <f t="shared" si="12"/>
        <v>25</v>
      </c>
      <c r="F25" s="46">
        <f t="shared" si="12"/>
        <v>25</v>
      </c>
      <c r="G25" s="46">
        <f t="shared" si="12"/>
        <v>25</v>
      </c>
      <c r="H25" s="46">
        <f t="shared" si="12"/>
        <v>25</v>
      </c>
      <c r="I25" s="46">
        <f t="shared" si="12"/>
        <v>25</v>
      </c>
      <c r="J25" s="46">
        <f t="shared" si="12"/>
        <v>25</v>
      </c>
      <c r="K25" s="46">
        <f t="shared" si="12"/>
        <v>25</v>
      </c>
      <c r="L25" s="46">
        <f t="shared" si="12"/>
        <v>25</v>
      </c>
      <c r="M25" s="46">
        <f t="shared" si="12"/>
        <v>25</v>
      </c>
      <c r="N25" s="46">
        <f t="shared" si="12"/>
        <v>25</v>
      </c>
      <c r="O25" s="43">
        <f t="shared" si="8"/>
        <v>300</v>
      </c>
      <c r="P25" s="12">
        <f t="shared" si="9"/>
        <v>0</v>
      </c>
    </row>
    <row r="26" spans="1:16" x14ac:dyDescent="0.25">
      <c r="A26" s="1"/>
      <c r="B26" s="1" t="s">
        <v>47</v>
      </c>
      <c r="C26" s="46">
        <f t="shared" si="12"/>
        <v>40</v>
      </c>
      <c r="D26" s="46">
        <f t="shared" si="12"/>
        <v>40</v>
      </c>
      <c r="E26" s="46">
        <f t="shared" si="12"/>
        <v>40</v>
      </c>
      <c r="F26" s="46">
        <f t="shared" si="12"/>
        <v>40</v>
      </c>
      <c r="G26" s="46">
        <f t="shared" si="12"/>
        <v>40</v>
      </c>
      <c r="H26" s="46">
        <f t="shared" si="12"/>
        <v>40</v>
      </c>
      <c r="I26" s="46">
        <f t="shared" si="12"/>
        <v>40</v>
      </c>
      <c r="J26" s="46">
        <f t="shared" si="12"/>
        <v>40</v>
      </c>
      <c r="K26" s="46">
        <f t="shared" si="12"/>
        <v>40</v>
      </c>
      <c r="L26" s="46">
        <f t="shared" si="12"/>
        <v>40</v>
      </c>
      <c r="M26" s="46">
        <f t="shared" si="12"/>
        <v>40</v>
      </c>
      <c r="N26" s="46">
        <f t="shared" si="12"/>
        <v>40</v>
      </c>
      <c r="O26" s="43">
        <f t="shared" si="8"/>
        <v>480</v>
      </c>
      <c r="P26" s="12">
        <f t="shared" si="9"/>
        <v>0</v>
      </c>
    </row>
    <row r="27" spans="1:16" x14ac:dyDescent="0.25">
      <c r="A27" s="1"/>
      <c r="B27" s="1" t="s">
        <v>48</v>
      </c>
      <c r="C27" s="46"/>
      <c r="D27" s="46"/>
      <c r="E27" s="46"/>
      <c r="F27" s="46">
        <v>300</v>
      </c>
      <c r="G27" s="46"/>
      <c r="H27" s="46"/>
      <c r="I27" s="46"/>
      <c r="J27" s="46"/>
      <c r="K27" s="46"/>
      <c r="L27" s="46"/>
      <c r="M27" s="46"/>
      <c r="N27" s="46"/>
      <c r="O27" s="43">
        <f t="shared" si="8"/>
        <v>300</v>
      </c>
      <c r="P27" s="12">
        <f t="shared" si="9"/>
        <v>0</v>
      </c>
    </row>
    <row r="28" spans="1:16" x14ac:dyDescent="0.25">
      <c r="A28" s="1"/>
      <c r="B28" s="1" t="s">
        <v>49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3">
        <f t="shared" si="8"/>
        <v>0</v>
      </c>
      <c r="P28" s="12">
        <f t="shared" si="9"/>
        <v>0</v>
      </c>
    </row>
    <row r="29" spans="1:16" ht="15.75" thickBot="1" x14ac:dyDescent="0.3">
      <c r="A29" s="1"/>
      <c r="B29" s="1" t="s">
        <v>50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3">
        <f t="shared" si="8"/>
        <v>0</v>
      </c>
      <c r="P29" s="12">
        <f t="shared" si="9"/>
        <v>0</v>
      </c>
    </row>
    <row r="30" spans="1:16" ht="15.75" thickBot="1" x14ac:dyDescent="0.3">
      <c r="A30" s="1" t="s">
        <v>51</v>
      </c>
      <c r="B30" s="1"/>
      <c r="C30" s="7">
        <f t="shared" ref="C30:N30" si="13">ROUND(SUM(C19:C29),5)</f>
        <v>140</v>
      </c>
      <c r="D30" s="7">
        <f t="shared" si="13"/>
        <v>140</v>
      </c>
      <c r="E30" s="7">
        <f t="shared" si="13"/>
        <v>740</v>
      </c>
      <c r="F30" s="7">
        <f t="shared" si="13"/>
        <v>1040</v>
      </c>
      <c r="G30" s="7">
        <f t="shared" si="13"/>
        <v>940</v>
      </c>
      <c r="H30" s="7">
        <f t="shared" si="13"/>
        <v>440</v>
      </c>
      <c r="I30" s="7">
        <f t="shared" si="13"/>
        <v>440</v>
      </c>
      <c r="J30" s="7">
        <f t="shared" si="13"/>
        <v>140</v>
      </c>
      <c r="K30" s="7">
        <f t="shared" si="13"/>
        <v>140</v>
      </c>
      <c r="L30" s="7">
        <f t="shared" si="13"/>
        <v>140</v>
      </c>
      <c r="M30" s="7">
        <f t="shared" si="13"/>
        <v>140</v>
      </c>
      <c r="N30" s="7">
        <f t="shared" si="13"/>
        <v>140</v>
      </c>
      <c r="O30" s="7">
        <f t="shared" si="8"/>
        <v>4580</v>
      </c>
      <c r="P30" s="7">
        <f t="shared" si="9"/>
        <v>0</v>
      </c>
    </row>
    <row r="31" spans="1:16" ht="15.75" thickTop="1" x14ac:dyDescent="0.25"/>
    <row r="33" spans="3:16" x14ac:dyDescent="0.25">
      <c r="E33" t="s">
        <v>172</v>
      </c>
    </row>
    <row r="37" spans="3:16" x14ac:dyDescent="0.2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3:16" x14ac:dyDescent="0.2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3:16" x14ac:dyDescent="0.2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3:16" x14ac:dyDescent="0.2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3:16" x14ac:dyDescent="0.2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3:16" x14ac:dyDescent="0.2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3:16" x14ac:dyDescent="0.2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3:16" x14ac:dyDescent="0.2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3:16" x14ac:dyDescent="0.2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3:16" x14ac:dyDescent="0.2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3:16" x14ac:dyDescent="0.2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3:16" x14ac:dyDescent="0.2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3:16" x14ac:dyDescent="0.2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3:16" x14ac:dyDescent="0.2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3:16" x14ac:dyDescent="0.2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3:16" x14ac:dyDescent="0.2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3:16" x14ac:dyDescent="0.2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3:16" x14ac:dyDescent="0.2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3:16" x14ac:dyDescent="0.2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3:16" x14ac:dyDescent="0.2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3:16" x14ac:dyDescent="0.2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3:16" x14ac:dyDescent="0.2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</sheetData>
  <mergeCells count="1">
    <mergeCell ref="M1:Q1"/>
  </mergeCells>
  <pageMargins left="0.7" right="0.7" top="0.75" bottom="0.75" header="0.3" footer="0.3"/>
  <pageSetup scale="64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rgb="FFFFFF00"/>
    <pageSetUpPr fitToPage="1"/>
  </sheetPr>
  <dimension ref="A1:R72"/>
  <sheetViews>
    <sheetView workbookViewId="0">
      <pane xSplit="2" ySplit="2" topLeftCell="F3" activePane="bottomRight" state="frozen"/>
      <selection activeCell="G29" sqref="G29"/>
      <selection pane="topRight" activeCell="G29" sqref="G29"/>
      <selection pane="bottomLeft" activeCell="G29" sqref="G29"/>
      <selection pane="bottomRight" activeCell="G29" sqref="G29"/>
    </sheetView>
  </sheetViews>
  <sheetFormatPr defaultRowHeight="15" x14ac:dyDescent="0.25"/>
  <cols>
    <col min="2" max="2" width="32.42578125" bestFit="1" customWidth="1"/>
    <col min="3" max="5" width="10.42578125" bestFit="1" customWidth="1"/>
    <col min="6" max="6" width="10.85546875" bestFit="1" customWidth="1"/>
    <col min="7" max="10" width="10.42578125" bestFit="1" customWidth="1"/>
    <col min="11" max="11" width="10.28515625" customWidth="1"/>
    <col min="12" max="12" width="10.42578125" customWidth="1"/>
    <col min="13" max="14" width="10.7109375" bestFit="1" customWidth="1"/>
    <col min="15" max="15" width="11.5703125" bestFit="1" customWidth="1"/>
    <col min="16" max="17" width="10.5703125" bestFit="1" customWidth="1"/>
  </cols>
  <sheetData>
    <row r="1" spans="1:18" x14ac:dyDescent="0.25">
      <c r="A1" s="51">
        <f>'Master Input Tab'!B3</f>
        <v>1.4999999999999999E-2</v>
      </c>
      <c r="K1" t="s">
        <v>170</v>
      </c>
      <c r="M1" s="90" t="s">
        <v>132</v>
      </c>
      <c r="N1" s="91"/>
      <c r="O1" s="91"/>
      <c r="P1" s="91"/>
      <c r="Q1" s="92"/>
      <c r="R1" s="8" t="s">
        <v>134</v>
      </c>
    </row>
    <row r="2" spans="1:18" ht="15.75" thickBot="1" x14ac:dyDescent="0.3">
      <c r="A2" s="52">
        <f>'Master Input Tab'!B4</f>
        <v>0.03</v>
      </c>
      <c r="C2" s="5">
        <v>2005</v>
      </c>
      <c r="D2" s="6">
        <v>2006</v>
      </c>
      <c r="E2" s="6">
        <v>2007</v>
      </c>
      <c r="F2" s="6">
        <v>2008</v>
      </c>
      <c r="G2" s="6">
        <v>2009</v>
      </c>
      <c r="H2" s="6">
        <v>2010</v>
      </c>
      <c r="I2" s="6">
        <v>2011</v>
      </c>
      <c r="J2" s="6">
        <v>2012</v>
      </c>
      <c r="K2" s="6">
        <v>2013</v>
      </c>
      <c r="L2" s="6" t="s">
        <v>171</v>
      </c>
      <c r="M2" s="81" t="str">
        <f>'Total Summary'!$H$4</f>
        <v>2014</v>
      </c>
      <c r="N2" s="81">
        <f>'Total Summary'!$I$4</f>
        <v>2015</v>
      </c>
      <c r="O2" s="81">
        <f>'Total Summary'!$J$4</f>
        <v>2016</v>
      </c>
      <c r="P2" s="81">
        <f>'Total Summary'!$K$4</f>
        <v>2017</v>
      </c>
      <c r="Q2" s="81">
        <f>'Total Summary'!$L$4</f>
        <v>2018</v>
      </c>
    </row>
    <row r="3" spans="1:18" x14ac:dyDescent="0.25">
      <c r="A3" s="1" t="s">
        <v>52</v>
      </c>
      <c r="B3" s="1"/>
      <c r="C3" s="2"/>
      <c r="D3" s="2"/>
      <c r="E3" s="2"/>
      <c r="F3" s="2"/>
      <c r="G3" s="2"/>
      <c r="H3" s="2"/>
      <c r="I3" s="2"/>
      <c r="J3" s="2"/>
    </row>
    <row r="4" spans="1:18" x14ac:dyDescent="0.25">
      <c r="A4" s="1"/>
      <c r="B4" s="1" t="s">
        <v>53</v>
      </c>
      <c r="C4" s="2">
        <v>1930.41</v>
      </c>
      <c r="D4" s="2">
        <v>1846.04</v>
      </c>
      <c r="E4" s="2">
        <v>2289.5100000000002</v>
      </c>
      <c r="F4" s="2">
        <v>2061.6999999999998</v>
      </c>
      <c r="G4" s="2">
        <v>4076.62</v>
      </c>
      <c r="H4" s="2">
        <v>3276.01</v>
      </c>
      <c r="I4" s="2">
        <v>2016.66</v>
      </c>
      <c r="J4" s="2">
        <v>2824.1</v>
      </c>
      <c r="K4" s="2">
        <f>VLOOKUP(B4,Summary!F:H,3,FALSE)/8*12</f>
        <v>2441.8650000000002</v>
      </c>
      <c r="L4" s="2">
        <f t="shared" ref="L4" si="0">SUM(C4:K4)/10</f>
        <v>2276.2915000000003</v>
      </c>
      <c r="M4" s="44">
        <v>2500</v>
      </c>
      <c r="N4" s="53">
        <f>+M4*(1+$A$1)</f>
        <v>2537.4999999999995</v>
      </c>
      <c r="O4" s="53">
        <f t="shared" ref="O4:Q5" si="1">+N4*(1+$A$1)</f>
        <v>2575.5624999999991</v>
      </c>
      <c r="P4" s="53">
        <f t="shared" si="1"/>
        <v>2614.1959374999988</v>
      </c>
      <c r="Q4" s="53">
        <f t="shared" si="1"/>
        <v>2653.4088765624983</v>
      </c>
    </row>
    <row r="5" spans="1:18" x14ac:dyDescent="0.25">
      <c r="A5" s="1"/>
      <c r="B5" s="1" t="s">
        <v>54</v>
      </c>
      <c r="C5" s="2">
        <v>1236</v>
      </c>
      <c r="D5" s="2">
        <v>2647.2</v>
      </c>
      <c r="E5" s="2">
        <v>1508</v>
      </c>
      <c r="F5" s="2">
        <v>1978.5</v>
      </c>
      <c r="G5" s="2">
        <v>1136</v>
      </c>
      <c r="H5" s="2">
        <v>1240</v>
      </c>
      <c r="I5" s="2">
        <v>1240</v>
      </c>
      <c r="J5" s="2">
        <v>1240</v>
      </c>
      <c r="K5" s="2">
        <f>VLOOKUP(B5,Summary!F:H,3,FALSE)/8*12</f>
        <v>1507.5</v>
      </c>
      <c r="L5" s="2">
        <f t="shared" ref="L5:L34" si="2">SUM(C5:K5)/10</f>
        <v>1373.3200000000002</v>
      </c>
      <c r="M5" s="49">
        <f>+'Master Input Tab'!$B$42*'Master Input Tab'!$B$7</f>
        <v>1340</v>
      </c>
      <c r="N5" s="53">
        <f>+M5*(1+$A$1)</f>
        <v>1360.1</v>
      </c>
      <c r="O5" s="53">
        <f t="shared" si="1"/>
        <v>1380.5014999999999</v>
      </c>
      <c r="P5" s="53">
        <f t="shared" si="1"/>
        <v>1401.2090224999997</v>
      </c>
      <c r="Q5" s="53">
        <f t="shared" si="1"/>
        <v>1422.2271578374996</v>
      </c>
    </row>
    <row r="6" spans="1:18" x14ac:dyDescent="0.25">
      <c r="A6" s="1"/>
      <c r="B6" s="1" t="s">
        <v>55</v>
      </c>
      <c r="C6" s="2">
        <v>2704.19</v>
      </c>
      <c r="D6" s="2">
        <v>7667.04</v>
      </c>
      <c r="E6" s="2">
        <v>2219.4</v>
      </c>
      <c r="F6" s="2">
        <v>1000</v>
      </c>
      <c r="G6" s="2">
        <v>1320.24</v>
      </c>
      <c r="H6" s="2">
        <v>8484.5400000000009</v>
      </c>
      <c r="I6" s="2">
        <v>11910.66</v>
      </c>
      <c r="J6" s="2">
        <v>871.62</v>
      </c>
      <c r="K6" s="2">
        <f>VLOOKUP(B6,Summary!F:H,3,FALSE)/8*12</f>
        <v>6926.4149999999991</v>
      </c>
      <c r="L6" s="2">
        <f t="shared" si="2"/>
        <v>4310.4105</v>
      </c>
      <c r="M6" s="44">
        <v>12000</v>
      </c>
      <c r="N6" s="53">
        <f>+M6*(1+$A$1)</f>
        <v>12179.999999999998</v>
      </c>
      <c r="O6" s="53">
        <f t="shared" ref="O6:Q7" si="3">+N6*(1+$A$1)</f>
        <v>12362.699999999997</v>
      </c>
      <c r="P6" s="53">
        <f t="shared" si="3"/>
        <v>12548.140499999996</v>
      </c>
      <c r="Q6" s="53">
        <f t="shared" si="3"/>
        <v>12736.362607499994</v>
      </c>
    </row>
    <row r="7" spans="1:18" x14ac:dyDescent="0.25">
      <c r="A7" s="1"/>
      <c r="B7" s="1" t="s">
        <v>56</v>
      </c>
      <c r="C7" s="2">
        <v>3644.34</v>
      </c>
      <c r="D7" s="2">
        <v>3386.63</v>
      </c>
      <c r="E7" s="2">
        <v>3456.68</v>
      </c>
      <c r="F7" s="2">
        <v>2545.2199999999998</v>
      </c>
      <c r="G7" s="2">
        <v>1961.61</v>
      </c>
      <c r="H7" s="2">
        <v>2447.9</v>
      </c>
      <c r="I7" s="2">
        <v>2882.04</v>
      </c>
      <c r="J7" s="2">
        <v>3318.9</v>
      </c>
      <c r="K7" s="2">
        <f>VLOOKUP(B7,Summary!F:H,3,FALSE)/8*12</f>
        <v>2307.6150000000002</v>
      </c>
      <c r="L7" s="2">
        <f t="shared" si="2"/>
        <v>2595.0935000000004</v>
      </c>
      <c r="M7" s="44">
        <v>2600</v>
      </c>
      <c r="N7" s="53">
        <f>+M7*(1+$A$1)</f>
        <v>2638.9999999999995</v>
      </c>
      <c r="O7" s="53">
        <f t="shared" si="3"/>
        <v>2678.5849999999991</v>
      </c>
      <c r="P7" s="53">
        <f t="shared" si="3"/>
        <v>2718.763774999999</v>
      </c>
      <c r="Q7" s="53">
        <f t="shared" si="3"/>
        <v>2759.5452316249989</v>
      </c>
    </row>
    <row r="8" spans="1:18" x14ac:dyDescent="0.25">
      <c r="A8" s="1"/>
      <c r="B8" s="1" t="s">
        <v>57</v>
      </c>
      <c r="C8" s="2">
        <v>1640.71</v>
      </c>
      <c r="D8" s="2">
        <v>1205.52</v>
      </c>
      <c r="E8" s="2">
        <v>1159.76</v>
      </c>
      <c r="F8" s="2">
        <v>1178.8599999999999</v>
      </c>
      <c r="G8" s="2">
        <v>1491.84</v>
      </c>
      <c r="H8" s="2">
        <v>3761.75</v>
      </c>
      <c r="I8" s="2">
        <v>5156.3500000000004</v>
      </c>
      <c r="J8" s="2">
        <v>2702.03</v>
      </c>
      <c r="K8" s="2">
        <f>VLOOKUP(B8,Summary!F:H,3,FALSE)/8*12</f>
        <v>1913.6999999999998</v>
      </c>
      <c r="L8" s="2">
        <f t="shared" si="2"/>
        <v>2021.0520000000001</v>
      </c>
      <c r="M8" s="44">
        <f>1900*(1+$A$2)</f>
        <v>1957</v>
      </c>
      <c r="N8" s="49">
        <f>+M8*(1+$A$2)</f>
        <v>2015.71</v>
      </c>
      <c r="O8" s="49">
        <f t="shared" ref="O8:Q8" si="4">+N8*(1+$A$2)</f>
        <v>2076.1813000000002</v>
      </c>
      <c r="P8" s="49">
        <f t="shared" si="4"/>
        <v>2138.4667390000004</v>
      </c>
      <c r="Q8" s="49">
        <f t="shared" si="4"/>
        <v>2202.6207411700007</v>
      </c>
    </row>
    <row r="9" spans="1:18" x14ac:dyDescent="0.25">
      <c r="A9" s="1"/>
      <c r="B9" s="1" t="s">
        <v>58</v>
      </c>
      <c r="C9" s="2">
        <v>2018.87</v>
      </c>
      <c r="D9" s="2">
        <v>1576.38</v>
      </c>
      <c r="E9" s="2">
        <v>1063.5</v>
      </c>
      <c r="F9" s="2">
        <v>773.69</v>
      </c>
      <c r="G9" s="2">
        <v>1753.47</v>
      </c>
      <c r="H9" s="2">
        <v>2104.14</v>
      </c>
      <c r="I9" s="2">
        <v>2842.44</v>
      </c>
      <c r="J9" s="2">
        <v>1872.07</v>
      </c>
      <c r="K9" s="2">
        <f>VLOOKUP(B9,Summary!F:H,3,FALSE)/8*12</f>
        <v>2026.53</v>
      </c>
      <c r="L9" s="2">
        <f t="shared" si="2"/>
        <v>1603.1090000000002</v>
      </c>
      <c r="M9" s="44">
        <f>750+500+500</f>
        <v>1750</v>
      </c>
      <c r="N9" s="53">
        <f>+M9*(1+$A$1)</f>
        <v>1776.2499999999998</v>
      </c>
      <c r="O9" s="53">
        <f t="shared" ref="O9:Q10" si="5">+N9*(1+$A$1)</f>
        <v>1802.8937499999995</v>
      </c>
      <c r="P9" s="53">
        <f t="shared" si="5"/>
        <v>1829.9371562499994</v>
      </c>
      <c r="Q9" s="53">
        <f t="shared" si="5"/>
        <v>1857.3862135937491</v>
      </c>
    </row>
    <row r="10" spans="1:18" x14ac:dyDescent="0.25">
      <c r="A10" s="1"/>
      <c r="B10" s="1" t="s">
        <v>59</v>
      </c>
      <c r="C10" s="2">
        <v>792.43</v>
      </c>
      <c r="D10" s="2">
        <v>1028.44</v>
      </c>
      <c r="E10" s="2">
        <v>1494.58</v>
      </c>
      <c r="F10" s="2">
        <v>1387.46</v>
      </c>
      <c r="G10" s="2">
        <v>1635.05</v>
      </c>
      <c r="H10" s="2">
        <v>2007.52</v>
      </c>
      <c r="I10" s="2">
        <v>1685.93</v>
      </c>
      <c r="J10" s="2">
        <v>2743.79</v>
      </c>
      <c r="K10" s="2">
        <f>VLOOKUP(B10,Summary!F:H,3,FALSE)/8*12</f>
        <v>2471.9850000000001</v>
      </c>
      <c r="L10" s="2">
        <f t="shared" si="2"/>
        <v>1524.7185000000002</v>
      </c>
      <c r="M10" s="44">
        <v>2475</v>
      </c>
      <c r="N10" s="53">
        <f>+M10*(1+$A$1)</f>
        <v>2512.1249999999995</v>
      </c>
      <c r="O10" s="53">
        <f t="shared" si="5"/>
        <v>2549.8068749999993</v>
      </c>
      <c r="P10" s="53">
        <f t="shared" si="5"/>
        <v>2588.053978124999</v>
      </c>
      <c r="Q10" s="53">
        <f t="shared" si="5"/>
        <v>2626.874787796874</v>
      </c>
    </row>
    <row r="11" spans="1:18" x14ac:dyDescent="0.25">
      <c r="A11" s="1"/>
      <c r="B11" s="1" t="s">
        <v>60</v>
      </c>
      <c r="C11" s="2">
        <v>17.63</v>
      </c>
      <c r="D11" s="2">
        <v>209.05</v>
      </c>
      <c r="E11" s="2">
        <v>615.72</v>
      </c>
      <c r="F11" s="2">
        <v>588.25</v>
      </c>
      <c r="G11" s="2">
        <v>325.94</v>
      </c>
      <c r="H11" s="2">
        <v>450</v>
      </c>
      <c r="I11" s="2">
        <v>0</v>
      </c>
      <c r="J11" s="2">
        <v>0</v>
      </c>
      <c r="K11" s="2">
        <v>0</v>
      </c>
      <c r="L11" s="2">
        <f t="shared" si="2"/>
        <v>220.65900000000002</v>
      </c>
      <c r="M11" s="44">
        <v>0</v>
      </c>
      <c r="N11" s="53">
        <f t="shared" ref="N11:Q11" si="6">+M11*(1+$A$1)</f>
        <v>0</v>
      </c>
      <c r="O11" s="53">
        <f t="shared" si="6"/>
        <v>0</v>
      </c>
      <c r="P11" s="53">
        <f t="shared" si="6"/>
        <v>0</v>
      </c>
      <c r="Q11" s="53">
        <f t="shared" si="6"/>
        <v>0</v>
      </c>
    </row>
    <row r="12" spans="1:18" x14ac:dyDescent="0.25">
      <c r="A12" s="1"/>
      <c r="B12" s="1" t="s">
        <v>305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50</v>
      </c>
      <c r="J12" s="2">
        <v>0</v>
      </c>
      <c r="K12" s="2">
        <v>0</v>
      </c>
      <c r="L12" s="2">
        <f t="shared" si="2"/>
        <v>5</v>
      </c>
      <c r="M12" s="49">
        <f>+'Master Input Tab'!$B$48*'Master Input Tab'!$B$6</f>
        <v>3600</v>
      </c>
      <c r="N12" s="53">
        <f>+M12</f>
        <v>3600</v>
      </c>
      <c r="O12" s="53">
        <f t="shared" ref="O12:Q12" si="7">+N12</f>
        <v>3600</v>
      </c>
      <c r="P12" s="53">
        <f t="shared" si="7"/>
        <v>3600</v>
      </c>
      <c r="Q12" s="53">
        <f t="shared" si="7"/>
        <v>3600</v>
      </c>
    </row>
    <row r="13" spans="1:18" x14ac:dyDescent="0.25">
      <c r="A13" s="1"/>
      <c r="B13" s="1" t="s">
        <v>163</v>
      </c>
      <c r="C13" s="9">
        <v>1305.6500000000001</v>
      </c>
      <c r="D13" s="9">
        <v>3156.08</v>
      </c>
      <c r="E13" s="9">
        <v>3143.23</v>
      </c>
      <c r="F13" s="9">
        <v>3686.16</v>
      </c>
      <c r="G13" s="9">
        <v>3426.28</v>
      </c>
      <c r="H13" s="9">
        <v>1949.65</v>
      </c>
      <c r="I13" s="9">
        <v>2214.04</v>
      </c>
      <c r="J13" s="9">
        <v>1526.76</v>
      </c>
      <c r="K13" s="2">
        <f>VLOOKUP(B13,Summary!F:H,3,FALSE)/8*12</f>
        <v>721.2</v>
      </c>
      <c r="L13" s="2">
        <f t="shared" si="2"/>
        <v>2112.9049999999997</v>
      </c>
      <c r="M13" s="49">
        <f>(M30+M32+'Lodge &amp; Pool'!M13+'Lodge &amp; Pool'!M15+'Lodge &amp; Pool'!M20+'Lodge &amp; Pool'!M22+Security!M4+'Roads &amp; Mowing (2)'!M22)*'Master Input Tab'!$B$33</f>
        <v>1028.7825</v>
      </c>
      <c r="N13" s="49">
        <f>(N30+N32+'Lodge &amp; Pool'!N13+'Lodge &amp; Pool'!N15+'Lodge &amp; Pool'!N20+'Lodge &amp; Pool'!N22+Security!N4)*0.015</f>
        <v>1050.4068749999999</v>
      </c>
      <c r="O13" s="49">
        <f>(O30+O32+'Lodge &amp; Pool'!O13+'Lodge &amp; Pool'!O15+'Lodge &amp; Pool'!O20+'Lodge &amp; Pool'!O22+Security!O4)*0.015</f>
        <v>1102.621695</v>
      </c>
      <c r="P13" s="49">
        <f>(P30+P32+'Lodge &amp; Pool'!P13+'Lodge &amp; Pool'!P15+'Lodge &amp; Pool'!P20+'Lodge &amp; Pool'!P22+Security!P4)*0.015</f>
        <v>1155.6557975999999</v>
      </c>
      <c r="Q13" s="49">
        <f>(Q30+Q32+'Lodge &amp; Pool'!Q13+'Lodge &amp; Pool'!Q15+'Lodge &amp; Pool'!Q20+'Lodge &amp; Pool'!Q22+Security!Q4)*0.015</f>
        <v>1209.5337612779999</v>
      </c>
    </row>
    <row r="14" spans="1:18" x14ac:dyDescent="0.25">
      <c r="A14" s="1"/>
      <c r="B14" s="1" t="s">
        <v>62</v>
      </c>
      <c r="C14" s="2">
        <v>8240</v>
      </c>
      <c r="D14" s="2">
        <v>6895</v>
      </c>
      <c r="E14" s="2">
        <v>8245</v>
      </c>
      <c r="F14" s="2">
        <v>8920</v>
      </c>
      <c r="G14" s="2">
        <v>10134</v>
      </c>
      <c r="H14" s="2">
        <v>10155</v>
      </c>
      <c r="I14" s="2">
        <v>9849</v>
      </c>
      <c r="J14" s="2">
        <v>8450</v>
      </c>
      <c r="K14" s="2">
        <f>VLOOKUP(B14,Summary!F:H,3,FALSE)/8*12</f>
        <v>7921.7999999999993</v>
      </c>
      <c r="L14" s="2">
        <f t="shared" si="2"/>
        <v>7880.9800000000005</v>
      </c>
      <c r="M14" s="49">
        <f>+'Master Input Tab'!$B$39*'Master Input Tab'!$B$6</f>
        <v>9084</v>
      </c>
      <c r="N14" s="53">
        <f>+M14*(1+$A$1)</f>
        <v>9220.2599999999984</v>
      </c>
      <c r="O14" s="53">
        <f t="shared" ref="O14:Q15" si="8">+N14*(1+$A$1)</f>
        <v>9358.5638999999974</v>
      </c>
      <c r="P14" s="53">
        <f t="shared" si="8"/>
        <v>9498.9423584999968</v>
      </c>
      <c r="Q14" s="53">
        <f t="shared" si="8"/>
        <v>9641.4264938774959</v>
      </c>
    </row>
    <row r="15" spans="1:18" x14ac:dyDescent="0.25">
      <c r="A15" s="1"/>
      <c r="B15" s="1" t="s">
        <v>63</v>
      </c>
      <c r="C15" s="2">
        <v>3817</v>
      </c>
      <c r="D15" s="2">
        <v>5222</v>
      </c>
      <c r="E15" s="2">
        <v>3849</v>
      </c>
      <c r="F15" s="2">
        <v>2893</v>
      </c>
      <c r="G15" s="2">
        <v>1682</v>
      </c>
      <c r="H15" s="2">
        <v>2024</v>
      </c>
      <c r="I15" s="2">
        <v>3611</v>
      </c>
      <c r="J15" s="2">
        <v>3840.4</v>
      </c>
      <c r="K15" s="2">
        <f>VLOOKUP(B15,Summary!F:H,3,FALSE)/8*12</f>
        <v>1554.8999999999999</v>
      </c>
      <c r="L15" s="2">
        <f t="shared" si="2"/>
        <v>2849.3300000000004</v>
      </c>
      <c r="M15" s="49">
        <f>('Master Input Tab'!$B$40+'Master Input Tab'!$B$41)*'Master Input Tab'!$B$6</f>
        <v>4104</v>
      </c>
      <c r="N15" s="53">
        <f>+M15*(1+$A$1)</f>
        <v>4165.5599999999995</v>
      </c>
      <c r="O15" s="53">
        <f t="shared" si="8"/>
        <v>4228.0433999999987</v>
      </c>
      <c r="P15" s="53">
        <f t="shared" si="8"/>
        <v>4291.4640509999981</v>
      </c>
      <c r="Q15" s="53">
        <f t="shared" si="8"/>
        <v>4355.8360117649972</v>
      </c>
    </row>
    <row r="16" spans="1:18" x14ac:dyDescent="0.25">
      <c r="A16" s="1"/>
      <c r="B16" s="1" t="s">
        <v>64</v>
      </c>
      <c r="C16" s="2">
        <v>5991.02</v>
      </c>
      <c r="D16" s="2">
        <v>5870.1</v>
      </c>
      <c r="E16" s="2">
        <v>5884.64</v>
      </c>
      <c r="F16" s="2">
        <v>5934.65</v>
      </c>
      <c r="G16" s="2">
        <v>5994.92</v>
      </c>
      <c r="H16" s="2">
        <v>5637.18</v>
      </c>
      <c r="I16" s="2">
        <v>6895.32</v>
      </c>
      <c r="J16" s="2">
        <v>8214.02</v>
      </c>
      <c r="K16" s="2">
        <f>VLOOKUP(B16,Summary!F:H,3,FALSE)/8*12</f>
        <v>6021.4800000000005</v>
      </c>
      <c r="L16" s="2">
        <f t="shared" si="2"/>
        <v>5644.3330000000005</v>
      </c>
      <c r="M16" s="49">
        <f>(M30+M32+'Lodge &amp; Pool'!M13+'Lodge &amp; Pool'!M15+'Lodge &amp; Pool'!M20+'Lodge &amp; Pool'!M22+Security!M4+'Roads &amp; Mowing (2)'!M22)*'Master Input Tab'!$B$32</f>
        <v>5246.7907500000001</v>
      </c>
      <c r="N16" s="49">
        <f>(N30+N32+'Lodge &amp; Pool'!N13+'Lodge &amp; Pool'!N15+'Lodge &amp; Pool'!N20+'Lodge &amp; Pool'!N22+Security!N4)*0.0765</f>
        <v>5357.0750625000001</v>
      </c>
      <c r="O16" s="49">
        <f>(O30+O32+'Lodge &amp; Pool'!O13+'Lodge &amp; Pool'!O15+'Lodge &amp; Pool'!O20+'Lodge &amp; Pool'!O22+Security!O4)*0.0765</f>
        <v>5623.3706445000007</v>
      </c>
      <c r="P16" s="49">
        <f>(P30+P32+'Lodge &amp; Pool'!P13+'Lodge &amp; Pool'!P15+'Lodge &amp; Pool'!P20+'Lodge &amp; Pool'!P22+Security!P4)*0.0765</f>
        <v>5893.8445677599993</v>
      </c>
      <c r="Q16" s="49">
        <f>(Q30+Q32+'Lodge &amp; Pool'!Q13+'Lodge &amp; Pool'!Q15+'Lodge &amp; Pool'!Q20+'Lodge &amp; Pool'!Q22+Security!Q4)*0.0765</f>
        <v>6168.6221825178</v>
      </c>
    </row>
    <row r="17" spans="1:17" x14ac:dyDescent="0.25">
      <c r="A17" s="1"/>
      <c r="B17" s="1" t="s">
        <v>65</v>
      </c>
      <c r="C17" s="2">
        <v>2670.42</v>
      </c>
      <c r="D17" s="2">
        <v>754.7</v>
      </c>
      <c r="E17" s="2">
        <v>1338.26</v>
      </c>
      <c r="F17" s="2">
        <v>1017.96</v>
      </c>
      <c r="G17" s="2">
        <v>457.02</v>
      </c>
      <c r="H17" s="2">
        <v>1857.96</v>
      </c>
      <c r="I17" s="2">
        <v>113.51</v>
      </c>
      <c r="J17" s="2">
        <v>662.83</v>
      </c>
      <c r="K17" s="2">
        <f>VLOOKUP(B17,Summary!F:H,3,FALSE)/8*12</f>
        <v>32.22</v>
      </c>
      <c r="L17" s="2">
        <f t="shared" si="2"/>
        <v>890.48799999999994</v>
      </c>
      <c r="M17" s="44">
        <v>500</v>
      </c>
      <c r="N17" s="49">
        <f>M17</f>
        <v>500</v>
      </c>
      <c r="O17" s="49">
        <f t="shared" ref="O17:Q17" si="9">N17</f>
        <v>500</v>
      </c>
      <c r="P17" s="49">
        <f t="shared" si="9"/>
        <v>500</v>
      </c>
      <c r="Q17" s="49">
        <f t="shared" si="9"/>
        <v>500</v>
      </c>
    </row>
    <row r="18" spans="1:17" x14ac:dyDescent="0.25">
      <c r="A18" s="1"/>
      <c r="B18" s="1" t="s">
        <v>66</v>
      </c>
      <c r="C18" s="2">
        <v>1629.72</v>
      </c>
      <c r="D18" s="2">
        <v>632.39</v>
      </c>
      <c r="E18" s="2">
        <v>0</v>
      </c>
      <c r="F18" s="2">
        <v>0</v>
      </c>
      <c r="G18" s="2">
        <v>199.98</v>
      </c>
      <c r="H18" s="2">
        <v>0</v>
      </c>
      <c r="I18" s="2">
        <v>656.61</v>
      </c>
      <c r="J18" s="2">
        <v>0</v>
      </c>
      <c r="K18" s="2">
        <v>0</v>
      </c>
      <c r="L18" s="2">
        <f t="shared" si="2"/>
        <v>311.87</v>
      </c>
      <c r="M18" s="44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x14ac:dyDescent="0.25">
      <c r="A19" s="1"/>
      <c r="B19" s="1" t="s">
        <v>67</v>
      </c>
      <c r="C19" s="2">
        <v>176.63</v>
      </c>
      <c r="D19" s="2">
        <v>364.29</v>
      </c>
      <c r="E19" s="2">
        <v>51.75</v>
      </c>
      <c r="F19" s="2">
        <v>202</v>
      </c>
      <c r="G19" s="2">
        <v>17.8</v>
      </c>
      <c r="H19" s="2">
        <v>50</v>
      </c>
      <c r="I19" s="2">
        <v>0</v>
      </c>
      <c r="J19" s="2">
        <v>0</v>
      </c>
      <c r="K19" s="2">
        <v>0</v>
      </c>
      <c r="L19" s="2">
        <f t="shared" si="2"/>
        <v>86.247</v>
      </c>
      <c r="M19" s="74">
        <f>+'Master Input Tab'!$B$43*'Master Input Tab'!$D$43*('Master Input Tab'!$B$5/4)</f>
        <v>500.5</v>
      </c>
      <c r="N19" s="49">
        <f>+'Master Input Tab'!$B$43*'Master Input Tab'!$D$43*('Master Input Tab'!$B$5/4)</f>
        <v>500.5</v>
      </c>
      <c r="O19" s="49">
        <f>+'Master Input Tab'!$B$43*'Master Input Tab'!$D$43*('Master Input Tab'!$B$5/4)</f>
        <v>500.5</v>
      </c>
      <c r="P19" s="49">
        <f>+'Master Input Tab'!$B$43*'Master Input Tab'!$D$43*('Master Input Tab'!$B$5/4)</f>
        <v>500.5</v>
      </c>
      <c r="Q19" s="49">
        <f>+'Master Input Tab'!$B$43*'Master Input Tab'!$D$43*('Master Input Tab'!$B$5/4)</f>
        <v>500.5</v>
      </c>
    </row>
    <row r="20" spans="1:17" x14ac:dyDescent="0.25">
      <c r="A20" s="1"/>
      <c r="B20" s="1" t="s">
        <v>68</v>
      </c>
      <c r="C20" s="2">
        <v>274.10000000000002</v>
      </c>
      <c r="D20" s="2">
        <v>299</v>
      </c>
      <c r="E20" s="2">
        <v>95.59</v>
      </c>
      <c r="F20" s="2">
        <v>0</v>
      </c>
      <c r="G20" s="2">
        <v>549.42999999999995</v>
      </c>
      <c r="H20" s="2">
        <v>316</v>
      </c>
      <c r="I20" s="2">
        <v>735.53</v>
      </c>
      <c r="J20" s="2">
        <v>1650.4</v>
      </c>
      <c r="K20" s="2">
        <f>VLOOKUP(B20,Summary!F:H,3,FALSE)/8*12</f>
        <v>1018.125</v>
      </c>
      <c r="L20" s="2">
        <f t="shared" si="2"/>
        <v>493.81749999999994</v>
      </c>
      <c r="M20" s="44">
        <v>500</v>
      </c>
      <c r="N20" s="49">
        <v>500</v>
      </c>
      <c r="O20" s="49">
        <v>500</v>
      </c>
      <c r="P20" s="49">
        <v>500</v>
      </c>
      <c r="Q20" s="49">
        <v>500</v>
      </c>
    </row>
    <row r="21" spans="1:17" x14ac:dyDescent="0.25">
      <c r="A21" s="1"/>
      <c r="B21" s="1" t="s">
        <v>69</v>
      </c>
      <c r="C21" s="2">
        <v>409.82</v>
      </c>
      <c r="D21" s="2">
        <v>463</v>
      </c>
      <c r="E21" s="2">
        <v>405.86</v>
      </c>
      <c r="F21" s="2">
        <v>417.76</v>
      </c>
      <c r="G21" s="2">
        <v>503.71</v>
      </c>
      <c r="H21" s="2">
        <v>631.42999999999995</v>
      </c>
      <c r="I21" s="2">
        <v>1296.03</v>
      </c>
      <c r="J21" s="2">
        <v>705.24</v>
      </c>
      <c r="K21" s="2">
        <f>VLOOKUP(B21,Summary!F:H,3,FALSE)/8*12</f>
        <v>1297.47</v>
      </c>
      <c r="L21" s="2">
        <f t="shared" si="2"/>
        <v>613.03199999999993</v>
      </c>
      <c r="M21" s="49">
        <f>('Master Input Tab'!$B$44*'Master Input Tab'!$D$44)+('Master Input Tab'!$B$45*'Master Input Tab'!$D$45)</f>
        <v>735.25</v>
      </c>
      <c r="N21" s="49">
        <f>('Master Input Tab'!$B$44*'Master Input Tab'!$D$44)</f>
        <v>700</v>
      </c>
      <c r="O21" s="49">
        <f>('Master Input Tab'!$B$44*'Master Input Tab'!$D$44)+('Master Input Tab'!$B$45*'Master Input Tab'!$D$45)</f>
        <v>735.25</v>
      </c>
      <c r="P21" s="49">
        <f>('Master Input Tab'!$B$44*'Master Input Tab'!$D$44)</f>
        <v>700</v>
      </c>
      <c r="Q21" s="49">
        <f>('Master Input Tab'!$B$44*'Master Input Tab'!$D$44)+('Master Input Tab'!$B$45*'Master Input Tab'!$D$45)</f>
        <v>735.25</v>
      </c>
    </row>
    <row r="22" spans="1:17" x14ac:dyDescent="0.25">
      <c r="A22" s="1"/>
      <c r="B22" s="1" t="s">
        <v>70</v>
      </c>
      <c r="C22" s="2">
        <v>417.65</v>
      </c>
      <c r="D22" s="2">
        <v>511.11</v>
      </c>
      <c r="E22" s="2">
        <v>80.5</v>
      </c>
      <c r="F22" s="2">
        <v>460.71</v>
      </c>
      <c r="G22" s="2">
        <v>859.58</v>
      </c>
      <c r="H22" s="2">
        <v>257.19</v>
      </c>
      <c r="I22" s="2">
        <v>35.549999999999997</v>
      </c>
      <c r="J22" s="2">
        <v>140</v>
      </c>
      <c r="K22" s="2">
        <f>VLOOKUP(B22,Summary!F:H,3,FALSE)/8*12</f>
        <v>135</v>
      </c>
      <c r="L22" s="2">
        <f t="shared" si="2"/>
        <v>289.72900000000004</v>
      </c>
      <c r="M22" s="44">
        <v>135</v>
      </c>
      <c r="N22" s="49">
        <v>135</v>
      </c>
      <c r="O22" s="49">
        <v>135</v>
      </c>
      <c r="P22" s="49">
        <v>135</v>
      </c>
      <c r="Q22" s="49">
        <v>135</v>
      </c>
    </row>
    <row r="23" spans="1:17" x14ac:dyDescent="0.25">
      <c r="A23" s="1"/>
      <c r="B23" s="1" t="s">
        <v>71</v>
      </c>
      <c r="C23" s="2">
        <v>75</v>
      </c>
      <c r="D23" s="2">
        <v>175</v>
      </c>
      <c r="E23" s="2">
        <v>300</v>
      </c>
      <c r="F23" s="2">
        <v>50</v>
      </c>
      <c r="G23" s="2">
        <v>125</v>
      </c>
      <c r="H23" s="2">
        <v>50</v>
      </c>
      <c r="I23" s="2">
        <v>250</v>
      </c>
      <c r="J23" s="2">
        <v>475</v>
      </c>
      <c r="K23" s="2">
        <f>VLOOKUP(B23,Summary!F:H,3,FALSE)/8*12</f>
        <v>645</v>
      </c>
      <c r="L23" s="2">
        <f t="shared" si="2"/>
        <v>214.5</v>
      </c>
      <c r="M23" s="44">
        <v>225</v>
      </c>
      <c r="N23" s="49">
        <f>M23</f>
        <v>225</v>
      </c>
      <c r="O23" s="49">
        <f t="shared" ref="O23:Q23" si="10">N23</f>
        <v>225</v>
      </c>
      <c r="P23" s="49">
        <f t="shared" si="10"/>
        <v>225</v>
      </c>
      <c r="Q23" s="49">
        <f t="shared" si="10"/>
        <v>225</v>
      </c>
    </row>
    <row r="24" spans="1:17" x14ac:dyDescent="0.25">
      <c r="A24" s="1"/>
      <c r="B24" s="1" t="s">
        <v>72</v>
      </c>
      <c r="C24" s="2">
        <v>2517.8200000000002</v>
      </c>
      <c r="D24" s="2">
        <v>3322.44</v>
      </c>
      <c r="E24" s="2">
        <v>3778.09</v>
      </c>
      <c r="F24" s="2">
        <v>2531.2399999999998</v>
      </c>
      <c r="G24" s="2">
        <v>871.57</v>
      </c>
      <c r="H24" s="2">
        <v>1799.62</v>
      </c>
      <c r="I24" s="2">
        <v>342.17</v>
      </c>
      <c r="J24" s="2">
        <v>0</v>
      </c>
      <c r="K24" s="2">
        <v>0</v>
      </c>
      <c r="L24" s="2">
        <f t="shared" si="2"/>
        <v>1516.2949999999998</v>
      </c>
      <c r="M24" s="44">
        <v>0</v>
      </c>
      <c r="N24" s="49">
        <f>M24</f>
        <v>0</v>
      </c>
      <c r="O24" s="49">
        <f t="shared" ref="O24:Q24" si="11">N24</f>
        <v>0</v>
      </c>
      <c r="P24" s="49">
        <f t="shared" si="11"/>
        <v>0</v>
      </c>
      <c r="Q24" s="49">
        <f t="shared" si="11"/>
        <v>0</v>
      </c>
    </row>
    <row r="25" spans="1:17" x14ac:dyDescent="0.25">
      <c r="A25" s="1"/>
      <c r="B25" s="1" t="s">
        <v>73</v>
      </c>
      <c r="C25" s="2">
        <v>600</v>
      </c>
      <c r="D25" s="2">
        <v>704.9</v>
      </c>
      <c r="E25" s="2">
        <v>759.45</v>
      </c>
      <c r="F25" s="2">
        <v>719.45</v>
      </c>
      <c r="G25" s="2">
        <v>1140</v>
      </c>
      <c r="H25" s="2">
        <v>1285</v>
      </c>
      <c r="I25" s="2">
        <v>1275</v>
      </c>
      <c r="J25" s="2">
        <v>1301</v>
      </c>
      <c r="K25" s="2">
        <f>VLOOKUP(B25,Summary!F:H,3,FALSE)/8*12</f>
        <v>1449</v>
      </c>
      <c r="L25" s="2">
        <f t="shared" si="2"/>
        <v>923.37999999999988</v>
      </c>
      <c r="M25" s="60">
        <f>17+144+600</f>
        <v>761</v>
      </c>
      <c r="N25" s="60">
        <f>(17+144)*(1+$A$2)</f>
        <v>165.83</v>
      </c>
      <c r="O25" s="53">
        <f t="shared" ref="O25" si="12">+N25*(1+$A$1)</f>
        <v>168.31745000000001</v>
      </c>
      <c r="P25" s="53">
        <f t="shared" ref="P25" si="13">+O25*(1+$A$1)</f>
        <v>170.84221174999999</v>
      </c>
      <c r="Q25" s="53">
        <f t="shared" ref="Q25" si="14">+P25*(1+$A$1)</f>
        <v>173.40484492624998</v>
      </c>
    </row>
    <row r="26" spans="1:17" x14ac:dyDescent="0.25">
      <c r="A26" s="1"/>
      <c r="B26" s="1" t="s">
        <v>74</v>
      </c>
      <c r="C26" s="2">
        <v>1400</v>
      </c>
      <c r="D26" s="2">
        <v>400</v>
      </c>
      <c r="E26" s="2">
        <v>1700</v>
      </c>
      <c r="F26" s="2">
        <v>700</v>
      </c>
      <c r="G26" s="2">
        <v>521.47</v>
      </c>
      <c r="H26" s="2">
        <v>300</v>
      </c>
      <c r="I26" s="2">
        <v>300</v>
      </c>
      <c r="J26" s="2">
        <v>300</v>
      </c>
      <c r="K26" s="2">
        <f>VLOOKUP(B26,Summary!F:H,3,FALSE)/8*12</f>
        <v>750</v>
      </c>
      <c r="L26" s="2">
        <f t="shared" si="2"/>
        <v>637.14700000000005</v>
      </c>
      <c r="M26" s="44">
        <v>300</v>
      </c>
      <c r="N26" s="49">
        <f>M26</f>
        <v>300</v>
      </c>
      <c r="O26" s="49">
        <f t="shared" ref="O26:Q26" si="15">N26</f>
        <v>300</v>
      </c>
      <c r="P26" s="49">
        <f t="shared" si="15"/>
        <v>300</v>
      </c>
      <c r="Q26" s="49">
        <f t="shared" si="15"/>
        <v>300</v>
      </c>
    </row>
    <row r="27" spans="1:17" x14ac:dyDescent="0.25">
      <c r="A27" s="1"/>
      <c r="B27" s="1" t="s">
        <v>75</v>
      </c>
      <c r="C27" s="2">
        <v>2931.51</v>
      </c>
      <c r="D27" s="2">
        <v>0</v>
      </c>
      <c r="E27" s="2">
        <v>1914.42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f t="shared" si="2"/>
        <v>484.59300000000002</v>
      </c>
      <c r="M27" s="44">
        <v>0</v>
      </c>
      <c r="N27" s="49">
        <f>M27</f>
        <v>0</v>
      </c>
      <c r="O27" s="49">
        <f t="shared" ref="O27:Q27" si="16">N27</f>
        <v>0</v>
      </c>
      <c r="P27" s="49">
        <f t="shared" si="16"/>
        <v>0</v>
      </c>
      <c r="Q27" s="49">
        <f t="shared" si="16"/>
        <v>0</v>
      </c>
    </row>
    <row r="28" spans="1:17" x14ac:dyDescent="0.25">
      <c r="A28" s="1"/>
      <c r="B28" s="1" t="s">
        <v>76</v>
      </c>
      <c r="C28" s="2">
        <v>0</v>
      </c>
      <c r="D28" s="2">
        <v>59.95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f t="shared" si="2"/>
        <v>5.9950000000000001</v>
      </c>
      <c r="M28" s="44">
        <v>0</v>
      </c>
      <c r="N28" s="49">
        <f t="shared" ref="N28:Q28" si="17">M28</f>
        <v>0</v>
      </c>
      <c r="O28" s="49">
        <f t="shared" si="17"/>
        <v>0</v>
      </c>
      <c r="P28" s="49">
        <f t="shared" si="17"/>
        <v>0</v>
      </c>
      <c r="Q28" s="49">
        <f t="shared" si="17"/>
        <v>0</v>
      </c>
    </row>
    <row r="29" spans="1:17" x14ac:dyDescent="0.25">
      <c r="A29" s="1"/>
      <c r="B29" s="1" t="s">
        <v>77</v>
      </c>
      <c r="C29" s="2">
        <v>0</v>
      </c>
      <c r="D29" s="2">
        <v>881.17</v>
      </c>
      <c r="E29" s="2" t="s">
        <v>172</v>
      </c>
      <c r="F29" s="2">
        <v>254.32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f t="shared" si="2"/>
        <v>113.54900000000001</v>
      </c>
      <c r="M29" s="44">
        <v>150</v>
      </c>
      <c r="N29" s="49">
        <f>M29</f>
        <v>150</v>
      </c>
      <c r="O29" s="49">
        <f t="shared" ref="O29:Q29" si="18">N29</f>
        <v>150</v>
      </c>
      <c r="P29" s="49">
        <f t="shared" si="18"/>
        <v>150</v>
      </c>
      <c r="Q29" s="49">
        <f t="shared" si="18"/>
        <v>150</v>
      </c>
    </row>
    <row r="30" spans="1:17" x14ac:dyDescent="0.25">
      <c r="A30" s="1"/>
      <c r="B30" s="1" t="s">
        <v>78</v>
      </c>
      <c r="C30" s="2">
        <v>25996.38</v>
      </c>
      <c r="D30" s="2">
        <v>30032.66</v>
      </c>
      <c r="E30" s="2">
        <v>27700.75</v>
      </c>
      <c r="F30" s="2">
        <v>22590.3</v>
      </c>
      <c r="G30" s="2">
        <v>14566.41</v>
      </c>
      <c r="H30" s="2">
        <v>14348.86</v>
      </c>
      <c r="I30" s="2">
        <v>21398.69</v>
      </c>
      <c r="J30" s="2">
        <v>24152.81</v>
      </c>
      <c r="K30" s="2">
        <f>VLOOKUP(B30,Summary!F:H,3,FALSE)/8*12</f>
        <v>15381.525000000001</v>
      </c>
      <c r="L30" s="2">
        <f t="shared" si="2"/>
        <v>19616.838500000002</v>
      </c>
      <c r="M30" s="49">
        <f>+('Master Input Tab'!$B$27*'Master Input Tab'!$C$27*'Master Input Tab'!$B$5)+('Master Input Tab'!$B$28*'Master Input Tab'!$C$28*'Master Input Tab'!$B$5)</f>
        <v>30810</v>
      </c>
      <c r="N30" s="49">
        <f>+M30*(1+$A$2)</f>
        <v>31734.3</v>
      </c>
      <c r="O30" s="49">
        <f t="shared" ref="O30:Q32" si="19">+N30*(1+$A$2)</f>
        <v>32686.329000000002</v>
      </c>
      <c r="P30" s="49">
        <f t="shared" si="19"/>
        <v>33666.918870000001</v>
      </c>
      <c r="Q30" s="49">
        <f t="shared" si="19"/>
        <v>34676.926436100002</v>
      </c>
    </row>
    <row r="31" spans="1:17" x14ac:dyDescent="0.25">
      <c r="A31" s="1"/>
      <c r="B31" s="1" t="s">
        <v>79</v>
      </c>
      <c r="C31" s="2">
        <v>8345.9599999999991</v>
      </c>
      <c r="D31" s="2">
        <v>8106.67</v>
      </c>
      <c r="E31" s="2">
        <v>6413.59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f t="shared" si="2"/>
        <v>2286.6219999999998</v>
      </c>
      <c r="M31" s="44">
        <v>0</v>
      </c>
      <c r="N31" s="49">
        <f>M31</f>
        <v>0</v>
      </c>
      <c r="O31" s="49">
        <f t="shared" ref="O31:Q31" si="20">N31</f>
        <v>0</v>
      </c>
      <c r="P31" s="49">
        <f t="shared" si="20"/>
        <v>0</v>
      </c>
      <c r="Q31" s="49">
        <f t="shared" si="20"/>
        <v>0</v>
      </c>
    </row>
    <row r="32" spans="1:17" x14ac:dyDescent="0.25">
      <c r="A32" s="1"/>
      <c r="B32" s="1" t="s">
        <v>80</v>
      </c>
      <c r="C32" s="2">
        <v>15360.27</v>
      </c>
      <c r="D32" s="2">
        <v>13427.64</v>
      </c>
      <c r="E32" s="2">
        <v>12771.65</v>
      </c>
      <c r="F32" s="2">
        <v>16445.330000000002</v>
      </c>
      <c r="G32" s="2">
        <v>21696.49</v>
      </c>
      <c r="H32" s="2">
        <v>32575</v>
      </c>
      <c r="I32" s="2">
        <v>29462.5</v>
      </c>
      <c r="J32" s="2">
        <v>32307.5</v>
      </c>
      <c r="K32" s="2">
        <f>VLOOKUP(B32,Summary!F:H,3,FALSE)/8*12</f>
        <v>23019</v>
      </c>
      <c r="L32" s="2">
        <f t="shared" si="2"/>
        <v>19706.538</v>
      </c>
      <c r="M32" s="49">
        <f>+'Master Input Tab'!B24*'Master Input Tab'!C24*'Master Input Tab'!B5</f>
        <v>15600</v>
      </c>
      <c r="N32" s="49">
        <f>+M32*(1+$A$2)</f>
        <v>16068</v>
      </c>
      <c r="O32" s="49">
        <f t="shared" si="19"/>
        <v>16550.04</v>
      </c>
      <c r="P32" s="49">
        <f t="shared" si="19"/>
        <v>17046.5412</v>
      </c>
      <c r="Q32" s="49">
        <f t="shared" si="19"/>
        <v>17557.937436</v>
      </c>
    </row>
    <row r="33" spans="1:17" x14ac:dyDescent="0.25">
      <c r="A33" s="1"/>
      <c r="B33" s="1" t="s">
        <v>81</v>
      </c>
      <c r="C33" s="13">
        <v>0</v>
      </c>
      <c r="D33" s="13">
        <v>0</v>
      </c>
      <c r="E33" s="13">
        <v>0</v>
      </c>
      <c r="F33" s="13">
        <v>0</v>
      </c>
      <c r="G33" s="13">
        <v>1250</v>
      </c>
      <c r="H33" s="13">
        <v>1250</v>
      </c>
      <c r="I33" s="13">
        <v>1250</v>
      </c>
      <c r="J33" s="13">
        <v>1250</v>
      </c>
      <c r="K33" s="2">
        <f>VLOOKUP(B33,Summary!F:H,3,FALSE)/8*12</f>
        <v>1875</v>
      </c>
      <c r="L33" s="2">
        <f t="shared" si="2"/>
        <v>687.5</v>
      </c>
      <c r="M33" s="49">
        <f>+'Master Input Tab'!$B$46*'Master Input Tab'!$B$6</f>
        <v>1260</v>
      </c>
      <c r="N33" s="53">
        <f>+M33*(1+$A$1)</f>
        <v>1278.8999999999999</v>
      </c>
      <c r="O33" s="53">
        <f t="shared" ref="O33:Q33" si="21">+N33*(1+$A$1)</f>
        <v>1298.0834999999997</v>
      </c>
      <c r="P33" s="53">
        <f t="shared" si="21"/>
        <v>1317.5547524999995</v>
      </c>
      <c r="Q33" s="53">
        <f t="shared" si="21"/>
        <v>1337.3180737874993</v>
      </c>
    </row>
    <row r="34" spans="1:17" ht="15.75" thickBot="1" x14ac:dyDescent="0.3">
      <c r="A34" s="1"/>
      <c r="B34" s="1" t="s">
        <v>82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560</v>
      </c>
      <c r="J34" s="14">
        <v>0</v>
      </c>
      <c r="K34" s="2">
        <v>0</v>
      </c>
      <c r="L34" s="2">
        <f t="shared" si="2"/>
        <v>56</v>
      </c>
      <c r="M34" s="44">
        <v>0</v>
      </c>
      <c r="N34" s="49">
        <f>M34</f>
        <v>0</v>
      </c>
      <c r="O34" s="49">
        <f t="shared" ref="O34:Q34" si="22">N34</f>
        <v>0</v>
      </c>
      <c r="P34" s="49">
        <f t="shared" si="22"/>
        <v>0</v>
      </c>
      <c r="Q34" s="49">
        <f t="shared" si="22"/>
        <v>0</v>
      </c>
    </row>
    <row r="35" spans="1:17" ht="15.75" thickBot="1" x14ac:dyDescent="0.3">
      <c r="A35" s="1" t="s">
        <v>83</v>
      </c>
      <c r="B35" s="1"/>
      <c r="C35" s="15">
        <f t="shared" ref="C35:J35" si="23">SUM(C4:C34)</f>
        <v>96143.530000000013</v>
      </c>
      <c r="D35" s="15">
        <f t="shared" si="23"/>
        <v>100844.4</v>
      </c>
      <c r="E35" s="15">
        <f t="shared" si="23"/>
        <v>92238.93</v>
      </c>
      <c r="F35" s="15">
        <f t="shared" si="23"/>
        <v>78336.56</v>
      </c>
      <c r="G35" s="15">
        <f t="shared" si="23"/>
        <v>77696.430000000008</v>
      </c>
      <c r="H35" s="15">
        <f t="shared" si="23"/>
        <v>98258.75</v>
      </c>
      <c r="I35" s="15">
        <f t="shared" si="23"/>
        <v>108029.03</v>
      </c>
      <c r="J35" s="15">
        <f t="shared" si="23"/>
        <v>100548.47</v>
      </c>
      <c r="K35" s="15">
        <f t="shared" ref="K35:Q35" si="24">SUM(K4:K34)</f>
        <v>81417.33</v>
      </c>
      <c r="L35" s="15">
        <f t="shared" si="24"/>
        <v>83351.343000000008</v>
      </c>
      <c r="M35" s="15">
        <f t="shared" si="24"/>
        <v>99162.323250000001</v>
      </c>
      <c r="N35" s="15">
        <f t="shared" si="24"/>
        <v>100671.51693749998</v>
      </c>
      <c r="O35" s="15">
        <f t="shared" si="24"/>
        <v>103087.35051449998</v>
      </c>
      <c r="P35" s="15">
        <f t="shared" si="24"/>
        <v>105491.03091748498</v>
      </c>
      <c r="Q35" s="15">
        <f t="shared" si="24"/>
        <v>108025.18085633765</v>
      </c>
    </row>
    <row r="36" spans="1:17" ht="15.75" thickTop="1" x14ac:dyDescent="0.2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7" x14ac:dyDescent="0.25">
      <c r="A37" s="8" t="s">
        <v>133</v>
      </c>
      <c r="B37" s="8"/>
    </row>
    <row r="38" spans="1:17" x14ac:dyDescent="0.25">
      <c r="A38" s="10"/>
      <c r="C38" t="s">
        <v>120</v>
      </c>
      <c r="D38" t="s">
        <v>121</v>
      </c>
      <c r="E38" t="s">
        <v>122</v>
      </c>
      <c r="F38" t="s">
        <v>129</v>
      </c>
      <c r="G38" t="s">
        <v>130</v>
      </c>
      <c r="H38" t="s">
        <v>31</v>
      </c>
      <c r="I38" t="s">
        <v>24</v>
      </c>
      <c r="J38" t="s">
        <v>26</v>
      </c>
      <c r="K38" t="s">
        <v>27</v>
      </c>
      <c r="L38" t="s">
        <v>25</v>
      </c>
      <c r="M38" t="s">
        <v>28</v>
      </c>
      <c r="N38" t="s">
        <v>29</v>
      </c>
      <c r="O38" t="s">
        <v>30</v>
      </c>
      <c r="P38" t="s">
        <v>131</v>
      </c>
    </row>
    <row r="39" spans="1:17" x14ac:dyDescent="0.25">
      <c r="A39" s="1" t="s">
        <v>52</v>
      </c>
      <c r="B39" s="1"/>
    </row>
    <row r="40" spans="1:17" x14ac:dyDescent="0.25">
      <c r="A40" s="1"/>
      <c r="B40" s="1" t="s">
        <v>53</v>
      </c>
      <c r="C40" s="46">
        <f>$M4/12</f>
        <v>208.33333333333334</v>
      </c>
      <c r="D40" s="46">
        <f>$M4/12</f>
        <v>208.33333333333334</v>
      </c>
      <c r="E40" s="46">
        <f t="shared" ref="E40:N40" si="25">$M4/12</f>
        <v>208.33333333333334</v>
      </c>
      <c r="F40" s="46">
        <f t="shared" si="25"/>
        <v>208.33333333333334</v>
      </c>
      <c r="G40" s="46">
        <f t="shared" si="25"/>
        <v>208.33333333333334</v>
      </c>
      <c r="H40" s="46">
        <f t="shared" si="25"/>
        <v>208.33333333333334</v>
      </c>
      <c r="I40" s="46">
        <f t="shared" si="25"/>
        <v>208.33333333333334</v>
      </c>
      <c r="J40" s="46">
        <f t="shared" si="25"/>
        <v>208.33333333333334</v>
      </c>
      <c r="K40" s="46">
        <f t="shared" si="25"/>
        <v>208.33333333333334</v>
      </c>
      <c r="L40" s="46">
        <f t="shared" si="25"/>
        <v>208.33333333333334</v>
      </c>
      <c r="M40" s="46">
        <f t="shared" si="25"/>
        <v>208.33333333333334</v>
      </c>
      <c r="N40" s="46">
        <f t="shared" si="25"/>
        <v>208.33333333333334</v>
      </c>
      <c r="O40" s="43">
        <f>SUM(C40:N40)</f>
        <v>2500</v>
      </c>
      <c r="P40" s="12">
        <f>+O40-M4</f>
        <v>0</v>
      </c>
    </row>
    <row r="41" spans="1:17" x14ac:dyDescent="0.25">
      <c r="A41" s="1"/>
      <c r="B41" s="1" t="s">
        <v>54</v>
      </c>
      <c r="C41" s="46">
        <f t="shared" ref="C41:N41" si="26">$M5/12</f>
        <v>111.66666666666667</v>
      </c>
      <c r="D41" s="46">
        <f t="shared" si="26"/>
        <v>111.66666666666667</v>
      </c>
      <c r="E41" s="46">
        <f t="shared" si="26"/>
        <v>111.66666666666667</v>
      </c>
      <c r="F41" s="46">
        <f t="shared" si="26"/>
        <v>111.66666666666667</v>
      </c>
      <c r="G41" s="46">
        <f t="shared" si="26"/>
        <v>111.66666666666667</v>
      </c>
      <c r="H41" s="46">
        <f t="shared" si="26"/>
        <v>111.66666666666667</v>
      </c>
      <c r="I41" s="46">
        <f t="shared" si="26"/>
        <v>111.66666666666667</v>
      </c>
      <c r="J41" s="46">
        <f t="shared" si="26"/>
        <v>111.66666666666667</v>
      </c>
      <c r="K41" s="46">
        <f t="shared" si="26"/>
        <v>111.66666666666667</v>
      </c>
      <c r="L41" s="46">
        <f t="shared" si="26"/>
        <v>111.66666666666667</v>
      </c>
      <c r="M41" s="46">
        <f t="shared" si="26"/>
        <v>111.66666666666667</v>
      </c>
      <c r="N41" s="46">
        <f t="shared" si="26"/>
        <v>111.66666666666667</v>
      </c>
      <c r="O41" s="43">
        <f t="shared" ref="O41:O70" si="27">SUM(C41:N41)</f>
        <v>1340</v>
      </c>
      <c r="P41" s="12">
        <f t="shared" ref="P41:P70" si="28">+O41-M5</f>
        <v>0</v>
      </c>
    </row>
    <row r="42" spans="1:17" x14ac:dyDescent="0.25">
      <c r="A42" s="1"/>
      <c r="B42" s="1" t="s">
        <v>55</v>
      </c>
      <c r="C42" s="46">
        <f t="shared" ref="C42:N42" si="29">$M6/12</f>
        <v>1000</v>
      </c>
      <c r="D42" s="46">
        <f t="shared" si="29"/>
        <v>1000</v>
      </c>
      <c r="E42" s="46">
        <f t="shared" si="29"/>
        <v>1000</v>
      </c>
      <c r="F42" s="46">
        <f t="shared" si="29"/>
        <v>1000</v>
      </c>
      <c r="G42" s="46">
        <f t="shared" si="29"/>
        <v>1000</v>
      </c>
      <c r="H42" s="46">
        <f t="shared" si="29"/>
        <v>1000</v>
      </c>
      <c r="I42" s="46">
        <f t="shared" si="29"/>
        <v>1000</v>
      </c>
      <c r="J42" s="46">
        <f t="shared" si="29"/>
        <v>1000</v>
      </c>
      <c r="K42" s="46">
        <f t="shared" si="29"/>
        <v>1000</v>
      </c>
      <c r="L42" s="46">
        <f t="shared" si="29"/>
        <v>1000</v>
      </c>
      <c r="M42" s="46">
        <f t="shared" si="29"/>
        <v>1000</v>
      </c>
      <c r="N42" s="46">
        <f t="shared" si="29"/>
        <v>1000</v>
      </c>
      <c r="O42" s="43">
        <f t="shared" si="27"/>
        <v>12000</v>
      </c>
      <c r="P42" s="12">
        <f t="shared" si="28"/>
        <v>0</v>
      </c>
    </row>
    <row r="43" spans="1:17" x14ac:dyDescent="0.25">
      <c r="A43" s="1"/>
      <c r="B43" s="1" t="s">
        <v>56</v>
      </c>
      <c r="C43" s="46">
        <f t="shared" ref="C43:N43" si="30">$M7/12</f>
        <v>216.66666666666666</v>
      </c>
      <c r="D43" s="46">
        <f t="shared" si="30"/>
        <v>216.66666666666666</v>
      </c>
      <c r="E43" s="46">
        <f t="shared" si="30"/>
        <v>216.66666666666666</v>
      </c>
      <c r="F43" s="46">
        <f t="shared" si="30"/>
        <v>216.66666666666666</v>
      </c>
      <c r="G43" s="46">
        <f t="shared" si="30"/>
        <v>216.66666666666666</v>
      </c>
      <c r="H43" s="46">
        <f t="shared" si="30"/>
        <v>216.66666666666666</v>
      </c>
      <c r="I43" s="46">
        <f t="shared" si="30"/>
        <v>216.66666666666666</v>
      </c>
      <c r="J43" s="46">
        <f t="shared" si="30"/>
        <v>216.66666666666666</v>
      </c>
      <c r="K43" s="46">
        <f t="shared" si="30"/>
        <v>216.66666666666666</v>
      </c>
      <c r="L43" s="46">
        <f t="shared" si="30"/>
        <v>216.66666666666666</v>
      </c>
      <c r="M43" s="46">
        <f t="shared" si="30"/>
        <v>216.66666666666666</v>
      </c>
      <c r="N43" s="46">
        <f t="shared" si="30"/>
        <v>216.66666666666666</v>
      </c>
      <c r="O43" s="43">
        <f t="shared" si="27"/>
        <v>2600</v>
      </c>
      <c r="P43" s="12">
        <f t="shared" si="28"/>
        <v>0</v>
      </c>
    </row>
    <row r="44" spans="1:17" x14ac:dyDescent="0.25">
      <c r="A44" s="1"/>
      <c r="B44" s="1" t="s">
        <v>57</v>
      </c>
      <c r="C44" s="46">
        <f t="shared" ref="C44:N44" si="31">$M8/12</f>
        <v>163.08333333333334</v>
      </c>
      <c r="D44" s="46">
        <f t="shared" si="31"/>
        <v>163.08333333333334</v>
      </c>
      <c r="E44" s="46">
        <f t="shared" si="31"/>
        <v>163.08333333333334</v>
      </c>
      <c r="F44" s="46">
        <f t="shared" si="31"/>
        <v>163.08333333333334</v>
      </c>
      <c r="G44" s="46">
        <f t="shared" si="31"/>
        <v>163.08333333333334</v>
      </c>
      <c r="H44" s="46">
        <f t="shared" si="31"/>
        <v>163.08333333333334</v>
      </c>
      <c r="I44" s="46">
        <f t="shared" si="31"/>
        <v>163.08333333333334</v>
      </c>
      <c r="J44" s="46">
        <f t="shared" si="31"/>
        <v>163.08333333333334</v>
      </c>
      <c r="K44" s="46">
        <f t="shared" si="31"/>
        <v>163.08333333333334</v>
      </c>
      <c r="L44" s="46">
        <f t="shared" si="31"/>
        <v>163.08333333333334</v>
      </c>
      <c r="M44" s="46">
        <f t="shared" si="31"/>
        <v>163.08333333333334</v>
      </c>
      <c r="N44" s="46">
        <f t="shared" si="31"/>
        <v>163.08333333333334</v>
      </c>
      <c r="O44" s="43">
        <f t="shared" si="27"/>
        <v>1956.9999999999998</v>
      </c>
      <c r="P44" s="12">
        <f t="shared" si="28"/>
        <v>0</v>
      </c>
    </row>
    <row r="45" spans="1:17" x14ac:dyDescent="0.25">
      <c r="A45" s="1"/>
      <c r="B45" s="1" t="s">
        <v>58</v>
      </c>
      <c r="C45" s="46">
        <f t="shared" ref="C45:N45" si="32">$M9/12</f>
        <v>145.83333333333334</v>
      </c>
      <c r="D45" s="46">
        <f t="shared" si="32"/>
        <v>145.83333333333334</v>
      </c>
      <c r="E45" s="46">
        <f t="shared" si="32"/>
        <v>145.83333333333334</v>
      </c>
      <c r="F45" s="46">
        <f t="shared" si="32"/>
        <v>145.83333333333334</v>
      </c>
      <c r="G45" s="46">
        <f t="shared" si="32"/>
        <v>145.83333333333334</v>
      </c>
      <c r="H45" s="46">
        <f t="shared" si="32"/>
        <v>145.83333333333334</v>
      </c>
      <c r="I45" s="46">
        <f t="shared" si="32"/>
        <v>145.83333333333334</v>
      </c>
      <c r="J45" s="46">
        <f t="shared" si="32"/>
        <v>145.83333333333334</v>
      </c>
      <c r="K45" s="46">
        <f t="shared" si="32"/>
        <v>145.83333333333334</v>
      </c>
      <c r="L45" s="46">
        <f t="shared" si="32"/>
        <v>145.83333333333334</v>
      </c>
      <c r="M45" s="46">
        <f t="shared" si="32"/>
        <v>145.83333333333334</v>
      </c>
      <c r="N45" s="46">
        <f t="shared" si="32"/>
        <v>145.83333333333334</v>
      </c>
      <c r="O45" s="43">
        <f t="shared" si="27"/>
        <v>1749.9999999999998</v>
      </c>
      <c r="P45" s="12">
        <f t="shared" si="28"/>
        <v>0</v>
      </c>
    </row>
    <row r="46" spans="1:17" x14ac:dyDescent="0.25">
      <c r="A46" s="1"/>
      <c r="B46" s="1" t="s">
        <v>59</v>
      </c>
      <c r="C46" s="46">
        <f t="shared" ref="C46:N46" si="33">$M10/12</f>
        <v>206.25</v>
      </c>
      <c r="D46" s="46">
        <f t="shared" si="33"/>
        <v>206.25</v>
      </c>
      <c r="E46" s="46">
        <f t="shared" si="33"/>
        <v>206.25</v>
      </c>
      <c r="F46" s="46">
        <f t="shared" si="33"/>
        <v>206.25</v>
      </c>
      <c r="G46" s="46">
        <f t="shared" si="33"/>
        <v>206.25</v>
      </c>
      <c r="H46" s="46">
        <f t="shared" si="33"/>
        <v>206.25</v>
      </c>
      <c r="I46" s="46">
        <f t="shared" si="33"/>
        <v>206.25</v>
      </c>
      <c r="J46" s="46">
        <f t="shared" si="33"/>
        <v>206.25</v>
      </c>
      <c r="K46" s="46">
        <f t="shared" si="33"/>
        <v>206.25</v>
      </c>
      <c r="L46" s="46">
        <f t="shared" si="33"/>
        <v>206.25</v>
      </c>
      <c r="M46" s="46">
        <f t="shared" si="33"/>
        <v>206.25</v>
      </c>
      <c r="N46" s="46">
        <f t="shared" si="33"/>
        <v>206.25</v>
      </c>
      <c r="O46" s="43">
        <f t="shared" si="27"/>
        <v>2475</v>
      </c>
      <c r="P46" s="12">
        <f t="shared" si="28"/>
        <v>0</v>
      </c>
    </row>
    <row r="47" spans="1:17" x14ac:dyDescent="0.25">
      <c r="A47" s="1"/>
      <c r="B47" s="1" t="s">
        <v>60</v>
      </c>
      <c r="C47" s="46">
        <f t="shared" ref="C47:N47" si="34">$M11/12</f>
        <v>0</v>
      </c>
      <c r="D47" s="46">
        <f t="shared" si="34"/>
        <v>0</v>
      </c>
      <c r="E47" s="46">
        <f t="shared" si="34"/>
        <v>0</v>
      </c>
      <c r="F47" s="46">
        <f t="shared" si="34"/>
        <v>0</v>
      </c>
      <c r="G47" s="46">
        <f t="shared" si="34"/>
        <v>0</v>
      </c>
      <c r="H47" s="46">
        <f t="shared" si="34"/>
        <v>0</v>
      </c>
      <c r="I47" s="46">
        <f t="shared" si="34"/>
        <v>0</v>
      </c>
      <c r="J47" s="46">
        <f t="shared" si="34"/>
        <v>0</v>
      </c>
      <c r="K47" s="46">
        <f t="shared" si="34"/>
        <v>0</v>
      </c>
      <c r="L47" s="46">
        <f t="shared" si="34"/>
        <v>0</v>
      </c>
      <c r="M47" s="46">
        <f t="shared" si="34"/>
        <v>0</v>
      </c>
      <c r="N47" s="46">
        <f t="shared" si="34"/>
        <v>0</v>
      </c>
      <c r="O47" s="43">
        <f t="shared" si="27"/>
        <v>0</v>
      </c>
      <c r="P47" s="12">
        <f t="shared" si="28"/>
        <v>0</v>
      </c>
    </row>
    <row r="48" spans="1:17" x14ac:dyDescent="0.25">
      <c r="A48" s="1"/>
      <c r="B48" s="1" t="s">
        <v>61</v>
      </c>
      <c r="C48" s="46">
        <f t="shared" ref="C48:N48" si="35">$M12/12</f>
        <v>300</v>
      </c>
      <c r="D48" s="46">
        <f t="shared" si="35"/>
        <v>300</v>
      </c>
      <c r="E48" s="46">
        <f t="shared" si="35"/>
        <v>300</v>
      </c>
      <c r="F48" s="46">
        <f t="shared" si="35"/>
        <v>300</v>
      </c>
      <c r="G48" s="46">
        <f t="shared" si="35"/>
        <v>300</v>
      </c>
      <c r="H48" s="46">
        <f t="shared" si="35"/>
        <v>300</v>
      </c>
      <c r="I48" s="46">
        <f t="shared" si="35"/>
        <v>300</v>
      </c>
      <c r="J48" s="46">
        <f t="shared" si="35"/>
        <v>300</v>
      </c>
      <c r="K48" s="46">
        <f t="shared" si="35"/>
        <v>300</v>
      </c>
      <c r="L48" s="46">
        <f t="shared" si="35"/>
        <v>300</v>
      </c>
      <c r="M48" s="46">
        <f t="shared" si="35"/>
        <v>300</v>
      </c>
      <c r="N48" s="46">
        <f t="shared" si="35"/>
        <v>300</v>
      </c>
      <c r="O48" s="43">
        <f t="shared" si="27"/>
        <v>3600</v>
      </c>
      <c r="P48" s="12">
        <f t="shared" si="28"/>
        <v>0</v>
      </c>
    </row>
    <row r="49" spans="1:16" x14ac:dyDescent="0.25">
      <c r="A49" s="1"/>
      <c r="B49" s="1" t="s">
        <v>163</v>
      </c>
      <c r="C49" s="46">
        <f t="shared" ref="C49:N49" si="36">$M13/12</f>
        <v>85.731875000000002</v>
      </c>
      <c r="D49" s="46">
        <f t="shared" si="36"/>
        <v>85.731875000000002</v>
      </c>
      <c r="E49" s="46">
        <f t="shared" si="36"/>
        <v>85.731875000000002</v>
      </c>
      <c r="F49" s="46">
        <f t="shared" si="36"/>
        <v>85.731875000000002</v>
      </c>
      <c r="G49" s="46">
        <f t="shared" si="36"/>
        <v>85.731875000000002</v>
      </c>
      <c r="H49" s="46">
        <f t="shared" si="36"/>
        <v>85.731875000000002</v>
      </c>
      <c r="I49" s="46">
        <f t="shared" si="36"/>
        <v>85.731875000000002</v>
      </c>
      <c r="J49" s="46">
        <f t="shared" si="36"/>
        <v>85.731875000000002</v>
      </c>
      <c r="K49" s="46">
        <f t="shared" si="36"/>
        <v>85.731875000000002</v>
      </c>
      <c r="L49" s="46">
        <f t="shared" si="36"/>
        <v>85.731875000000002</v>
      </c>
      <c r="M49" s="46">
        <f t="shared" si="36"/>
        <v>85.731875000000002</v>
      </c>
      <c r="N49" s="46">
        <f t="shared" si="36"/>
        <v>85.731875000000002</v>
      </c>
      <c r="O49" s="43">
        <f t="shared" si="27"/>
        <v>1028.7824999999998</v>
      </c>
      <c r="P49" s="12">
        <f t="shared" si="28"/>
        <v>0</v>
      </c>
    </row>
    <row r="50" spans="1:16" x14ac:dyDescent="0.25">
      <c r="A50" s="1"/>
      <c r="B50" s="1" t="s">
        <v>62</v>
      </c>
      <c r="C50" s="46">
        <f t="shared" ref="C50:N50" si="37">$M14/12</f>
        <v>757</v>
      </c>
      <c r="D50" s="46">
        <f t="shared" si="37"/>
        <v>757</v>
      </c>
      <c r="E50" s="46">
        <f t="shared" si="37"/>
        <v>757</v>
      </c>
      <c r="F50" s="46">
        <f t="shared" si="37"/>
        <v>757</v>
      </c>
      <c r="G50" s="46">
        <f t="shared" si="37"/>
        <v>757</v>
      </c>
      <c r="H50" s="46">
        <f t="shared" si="37"/>
        <v>757</v>
      </c>
      <c r="I50" s="46">
        <f t="shared" si="37"/>
        <v>757</v>
      </c>
      <c r="J50" s="46">
        <f t="shared" si="37"/>
        <v>757</v>
      </c>
      <c r="K50" s="46">
        <f t="shared" si="37"/>
        <v>757</v>
      </c>
      <c r="L50" s="46">
        <f t="shared" si="37"/>
        <v>757</v>
      </c>
      <c r="M50" s="46">
        <f t="shared" si="37"/>
        <v>757</v>
      </c>
      <c r="N50" s="46">
        <f t="shared" si="37"/>
        <v>757</v>
      </c>
      <c r="O50" s="43">
        <f t="shared" si="27"/>
        <v>9084</v>
      </c>
      <c r="P50" s="12">
        <f t="shared" si="28"/>
        <v>0</v>
      </c>
    </row>
    <row r="51" spans="1:16" x14ac:dyDescent="0.25">
      <c r="A51" s="1"/>
      <c r="B51" s="1" t="s">
        <v>63</v>
      </c>
      <c r="C51" s="46">
        <f t="shared" ref="C51:N51" si="38">$M15/12</f>
        <v>342</v>
      </c>
      <c r="D51" s="46">
        <f t="shared" si="38"/>
        <v>342</v>
      </c>
      <c r="E51" s="46">
        <f t="shared" si="38"/>
        <v>342</v>
      </c>
      <c r="F51" s="46">
        <f t="shared" si="38"/>
        <v>342</v>
      </c>
      <c r="G51" s="46">
        <f t="shared" si="38"/>
        <v>342</v>
      </c>
      <c r="H51" s="46">
        <f t="shared" si="38"/>
        <v>342</v>
      </c>
      <c r="I51" s="46">
        <f t="shared" si="38"/>
        <v>342</v>
      </c>
      <c r="J51" s="46">
        <f t="shared" si="38"/>
        <v>342</v>
      </c>
      <c r="K51" s="46">
        <f t="shared" si="38"/>
        <v>342</v>
      </c>
      <c r="L51" s="46">
        <f t="shared" si="38"/>
        <v>342</v>
      </c>
      <c r="M51" s="46">
        <f t="shared" si="38"/>
        <v>342</v>
      </c>
      <c r="N51" s="46">
        <f t="shared" si="38"/>
        <v>342</v>
      </c>
      <c r="O51" s="43">
        <f t="shared" si="27"/>
        <v>4104</v>
      </c>
      <c r="P51" s="12">
        <f t="shared" si="28"/>
        <v>0</v>
      </c>
    </row>
    <row r="52" spans="1:16" x14ac:dyDescent="0.25">
      <c r="A52" s="1"/>
      <c r="B52" s="1" t="s">
        <v>64</v>
      </c>
      <c r="C52" s="46">
        <f t="shared" ref="C52:N52" si="39">$M16/12</f>
        <v>437.23256250000003</v>
      </c>
      <c r="D52" s="46">
        <f t="shared" si="39"/>
        <v>437.23256250000003</v>
      </c>
      <c r="E52" s="46">
        <f t="shared" si="39"/>
        <v>437.23256250000003</v>
      </c>
      <c r="F52" s="46">
        <f t="shared" si="39"/>
        <v>437.23256250000003</v>
      </c>
      <c r="G52" s="46">
        <f t="shared" si="39"/>
        <v>437.23256250000003</v>
      </c>
      <c r="H52" s="46">
        <f t="shared" si="39"/>
        <v>437.23256250000003</v>
      </c>
      <c r="I52" s="46">
        <f t="shared" si="39"/>
        <v>437.23256250000003</v>
      </c>
      <c r="J52" s="46">
        <f t="shared" si="39"/>
        <v>437.23256250000003</v>
      </c>
      <c r="K52" s="46">
        <f t="shared" si="39"/>
        <v>437.23256250000003</v>
      </c>
      <c r="L52" s="46">
        <f t="shared" si="39"/>
        <v>437.23256250000003</v>
      </c>
      <c r="M52" s="46">
        <f t="shared" si="39"/>
        <v>437.23256250000003</v>
      </c>
      <c r="N52" s="46">
        <f t="shared" si="39"/>
        <v>437.23256250000003</v>
      </c>
      <c r="O52" s="43">
        <f t="shared" si="27"/>
        <v>5246.7907500000001</v>
      </c>
      <c r="P52" s="12">
        <f t="shared" si="28"/>
        <v>0</v>
      </c>
    </row>
    <row r="53" spans="1:16" x14ac:dyDescent="0.25">
      <c r="A53" s="1"/>
      <c r="B53" s="1" t="s">
        <v>65</v>
      </c>
      <c r="C53" s="46">
        <f t="shared" ref="C53:N53" si="40">$M17/12</f>
        <v>41.666666666666664</v>
      </c>
      <c r="D53" s="46">
        <f t="shared" si="40"/>
        <v>41.666666666666664</v>
      </c>
      <c r="E53" s="46">
        <f t="shared" si="40"/>
        <v>41.666666666666664</v>
      </c>
      <c r="F53" s="46">
        <f t="shared" si="40"/>
        <v>41.666666666666664</v>
      </c>
      <c r="G53" s="46">
        <f t="shared" si="40"/>
        <v>41.666666666666664</v>
      </c>
      <c r="H53" s="46">
        <f t="shared" si="40"/>
        <v>41.666666666666664</v>
      </c>
      <c r="I53" s="46">
        <f t="shared" si="40"/>
        <v>41.666666666666664</v>
      </c>
      <c r="J53" s="46">
        <f t="shared" si="40"/>
        <v>41.666666666666664</v>
      </c>
      <c r="K53" s="46">
        <f t="shared" si="40"/>
        <v>41.666666666666664</v>
      </c>
      <c r="L53" s="46">
        <f t="shared" si="40"/>
        <v>41.666666666666664</v>
      </c>
      <c r="M53" s="46">
        <f t="shared" si="40"/>
        <v>41.666666666666664</v>
      </c>
      <c r="N53" s="46">
        <f t="shared" si="40"/>
        <v>41.666666666666664</v>
      </c>
      <c r="O53" s="43">
        <f t="shared" si="27"/>
        <v>500.00000000000006</v>
      </c>
      <c r="P53" s="12">
        <f t="shared" si="28"/>
        <v>0</v>
      </c>
    </row>
    <row r="54" spans="1:16" x14ac:dyDescent="0.25">
      <c r="A54" s="1"/>
      <c r="B54" s="1" t="s">
        <v>66</v>
      </c>
      <c r="C54" s="46">
        <f t="shared" ref="C54:N54" si="41">$M18/12</f>
        <v>0</v>
      </c>
      <c r="D54" s="46">
        <f t="shared" si="41"/>
        <v>0</v>
      </c>
      <c r="E54" s="46">
        <f t="shared" si="41"/>
        <v>0</v>
      </c>
      <c r="F54" s="46">
        <f t="shared" si="41"/>
        <v>0</v>
      </c>
      <c r="G54" s="46">
        <f t="shared" si="41"/>
        <v>0</v>
      </c>
      <c r="H54" s="46">
        <f t="shared" si="41"/>
        <v>0</v>
      </c>
      <c r="I54" s="46">
        <f t="shared" si="41"/>
        <v>0</v>
      </c>
      <c r="J54" s="46">
        <f t="shared" si="41"/>
        <v>0</v>
      </c>
      <c r="K54" s="46">
        <f t="shared" si="41"/>
        <v>0</v>
      </c>
      <c r="L54" s="46">
        <f t="shared" si="41"/>
        <v>0</v>
      </c>
      <c r="M54" s="46">
        <f t="shared" si="41"/>
        <v>0</v>
      </c>
      <c r="N54" s="46">
        <f t="shared" si="41"/>
        <v>0</v>
      </c>
      <c r="O54" s="43">
        <f t="shared" si="27"/>
        <v>0</v>
      </c>
      <c r="P54" s="12">
        <f t="shared" si="28"/>
        <v>0</v>
      </c>
    </row>
    <row r="55" spans="1:16" x14ac:dyDescent="0.25">
      <c r="A55" s="1"/>
      <c r="B55" s="1" t="s">
        <v>67</v>
      </c>
      <c r="C55" s="46">
        <f t="shared" ref="C55:N55" si="42">$M19/12</f>
        <v>41.708333333333336</v>
      </c>
      <c r="D55" s="46">
        <f t="shared" si="42"/>
        <v>41.708333333333336</v>
      </c>
      <c r="E55" s="46">
        <f t="shared" si="42"/>
        <v>41.708333333333336</v>
      </c>
      <c r="F55" s="46">
        <f t="shared" si="42"/>
        <v>41.708333333333336</v>
      </c>
      <c r="G55" s="46">
        <f t="shared" si="42"/>
        <v>41.708333333333336</v>
      </c>
      <c r="H55" s="46">
        <f t="shared" si="42"/>
        <v>41.708333333333336</v>
      </c>
      <c r="I55" s="46">
        <f t="shared" si="42"/>
        <v>41.708333333333336</v>
      </c>
      <c r="J55" s="46">
        <f t="shared" si="42"/>
        <v>41.708333333333336</v>
      </c>
      <c r="K55" s="46">
        <f t="shared" si="42"/>
        <v>41.708333333333336</v>
      </c>
      <c r="L55" s="46">
        <f t="shared" si="42"/>
        <v>41.708333333333336</v>
      </c>
      <c r="M55" s="46">
        <f t="shared" si="42"/>
        <v>41.708333333333336</v>
      </c>
      <c r="N55" s="46">
        <f t="shared" si="42"/>
        <v>41.708333333333336</v>
      </c>
      <c r="O55" s="43">
        <f t="shared" si="27"/>
        <v>500.49999999999994</v>
      </c>
      <c r="P55" s="12">
        <f t="shared" si="28"/>
        <v>0</v>
      </c>
    </row>
    <row r="56" spans="1:16" x14ac:dyDescent="0.25">
      <c r="A56" s="1"/>
      <c r="B56" s="1" t="s">
        <v>68</v>
      </c>
      <c r="C56" s="46">
        <f t="shared" ref="C56:N56" si="43">$M20/12</f>
        <v>41.666666666666664</v>
      </c>
      <c r="D56" s="46">
        <f t="shared" si="43"/>
        <v>41.666666666666664</v>
      </c>
      <c r="E56" s="46">
        <f t="shared" si="43"/>
        <v>41.666666666666664</v>
      </c>
      <c r="F56" s="46">
        <f t="shared" si="43"/>
        <v>41.666666666666664</v>
      </c>
      <c r="G56" s="46">
        <f t="shared" si="43"/>
        <v>41.666666666666664</v>
      </c>
      <c r="H56" s="46">
        <f t="shared" si="43"/>
        <v>41.666666666666664</v>
      </c>
      <c r="I56" s="46">
        <f t="shared" si="43"/>
        <v>41.666666666666664</v>
      </c>
      <c r="J56" s="46">
        <f t="shared" si="43"/>
        <v>41.666666666666664</v>
      </c>
      <c r="K56" s="46">
        <f t="shared" si="43"/>
        <v>41.666666666666664</v>
      </c>
      <c r="L56" s="46">
        <f t="shared" si="43"/>
        <v>41.666666666666664</v>
      </c>
      <c r="M56" s="46">
        <f t="shared" si="43"/>
        <v>41.666666666666664</v>
      </c>
      <c r="N56" s="46">
        <f t="shared" si="43"/>
        <v>41.666666666666664</v>
      </c>
      <c r="O56" s="43">
        <f t="shared" si="27"/>
        <v>500.00000000000006</v>
      </c>
      <c r="P56" s="12">
        <f t="shared" si="28"/>
        <v>0</v>
      </c>
    </row>
    <row r="57" spans="1:16" x14ac:dyDescent="0.25">
      <c r="A57" s="1"/>
      <c r="B57" s="1" t="s">
        <v>69</v>
      </c>
      <c r="C57" s="46">
        <f t="shared" ref="C57:N57" si="44">$M21/12</f>
        <v>61.270833333333336</v>
      </c>
      <c r="D57" s="46">
        <f t="shared" si="44"/>
        <v>61.270833333333336</v>
      </c>
      <c r="E57" s="46">
        <f t="shared" si="44"/>
        <v>61.270833333333336</v>
      </c>
      <c r="F57" s="46">
        <f t="shared" si="44"/>
        <v>61.270833333333336</v>
      </c>
      <c r="G57" s="46">
        <f t="shared" si="44"/>
        <v>61.270833333333336</v>
      </c>
      <c r="H57" s="46">
        <f t="shared" si="44"/>
        <v>61.270833333333336</v>
      </c>
      <c r="I57" s="46">
        <f t="shared" si="44"/>
        <v>61.270833333333336</v>
      </c>
      <c r="J57" s="46">
        <f t="shared" si="44"/>
        <v>61.270833333333336</v>
      </c>
      <c r="K57" s="46">
        <f t="shared" si="44"/>
        <v>61.270833333333336</v>
      </c>
      <c r="L57" s="46">
        <f t="shared" si="44"/>
        <v>61.270833333333336</v>
      </c>
      <c r="M57" s="46">
        <f t="shared" si="44"/>
        <v>61.270833333333336</v>
      </c>
      <c r="N57" s="46">
        <f t="shared" si="44"/>
        <v>61.270833333333336</v>
      </c>
      <c r="O57" s="43">
        <f t="shared" si="27"/>
        <v>735.25000000000011</v>
      </c>
      <c r="P57" s="12">
        <f t="shared" si="28"/>
        <v>0</v>
      </c>
    </row>
    <row r="58" spans="1:16" x14ac:dyDescent="0.25">
      <c r="A58" s="1"/>
      <c r="B58" s="1" t="s">
        <v>70</v>
      </c>
      <c r="C58" s="46">
        <f t="shared" ref="C58:N58" si="45">$M22/12</f>
        <v>11.25</v>
      </c>
      <c r="D58" s="46">
        <f t="shared" si="45"/>
        <v>11.25</v>
      </c>
      <c r="E58" s="46">
        <f t="shared" si="45"/>
        <v>11.25</v>
      </c>
      <c r="F58" s="46">
        <f t="shared" si="45"/>
        <v>11.25</v>
      </c>
      <c r="G58" s="46">
        <f t="shared" si="45"/>
        <v>11.25</v>
      </c>
      <c r="H58" s="46">
        <f t="shared" si="45"/>
        <v>11.25</v>
      </c>
      <c r="I58" s="46">
        <f t="shared" si="45"/>
        <v>11.25</v>
      </c>
      <c r="J58" s="46">
        <f t="shared" si="45"/>
        <v>11.25</v>
      </c>
      <c r="K58" s="46">
        <f t="shared" si="45"/>
        <v>11.25</v>
      </c>
      <c r="L58" s="46">
        <f t="shared" si="45"/>
        <v>11.25</v>
      </c>
      <c r="M58" s="46">
        <f t="shared" si="45"/>
        <v>11.25</v>
      </c>
      <c r="N58" s="46">
        <f t="shared" si="45"/>
        <v>11.25</v>
      </c>
      <c r="O58" s="43">
        <f t="shared" si="27"/>
        <v>135</v>
      </c>
      <c r="P58" s="12">
        <f t="shared" si="28"/>
        <v>0</v>
      </c>
    </row>
    <row r="59" spans="1:16" x14ac:dyDescent="0.25">
      <c r="A59" s="1"/>
      <c r="B59" s="1" t="s">
        <v>71</v>
      </c>
      <c r="C59" s="46">
        <f t="shared" ref="C59:N59" si="46">$M23/12</f>
        <v>18.75</v>
      </c>
      <c r="D59" s="46">
        <f t="shared" si="46"/>
        <v>18.75</v>
      </c>
      <c r="E59" s="46">
        <f t="shared" si="46"/>
        <v>18.75</v>
      </c>
      <c r="F59" s="46">
        <f t="shared" si="46"/>
        <v>18.75</v>
      </c>
      <c r="G59" s="46">
        <f t="shared" si="46"/>
        <v>18.75</v>
      </c>
      <c r="H59" s="46">
        <f t="shared" si="46"/>
        <v>18.75</v>
      </c>
      <c r="I59" s="46">
        <f t="shared" si="46"/>
        <v>18.75</v>
      </c>
      <c r="J59" s="46">
        <f t="shared" si="46"/>
        <v>18.75</v>
      </c>
      <c r="K59" s="46">
        <f t="shared" si="46"/>
        <v>18.75</v>
      </c>
      <c r="L59" s="46">
        <f t="shared" si="46"/>
        <v>18.75</v>
      </c>
      <c r="M59" s="46">
        <f t="shared" si="46"/>
        <v>18.75</v>
      </c>
      <c r="N59" s="46">
        <f t="shared" si="46"/>
        <v>18.75</v>
      </c>
      <c r="O59" s="43">
        <f t="shared" si="27"/>
        <v>225</v>
      </c>
      <c r="P59" s="12">
        <f t="shared" si="28"/>
        <v>0</v>
      </c>
    </row>
    <row r="60" spans="1:16" x14ac:dyDescent="0.25">
      <c r="A60" s="1"/>
      <c r="B60" s="1" t="s">
        <v>72</v>
      </c>
      <c r="C60" s="46">
        <f t="shared" ref="C60:N60" si="47">$M24/12</f>
        <v>0</v>
      </c>
      <c r="D60" s="46">
        <f t="shared" si="47"/>
        <v>0</v>
      </c>
      <c r="E60" s="46">
        <f t="shared" si="47"/>
        <v>0</v>
      </c>
      <c r="F60" s="46">
        <f t="shared" si="47"/>
        <v>0</v>
      </c>
      <c r="G60" s="46">
        <f t="shared" si="47"/>
        <v>0</v>
      </c>
      <c r="H60" s="46">
        <f t="shared" si="47"/>
        <v>0</v>
      </c>
      <c r="I60" s="46">
        <f t="shared" si="47"/>
        <v>0</v>
      </c>
      <c r="J60" s="46">
        <f t="shared" si="47"/>
        <v>0</v>
      </c>
      <c r="K60" s="46">
        <f t="shared" si="47"/>
        <v>0</v>
      </c>
      <c r="L60" s="46">
        <f t="shared" si="47"/>
        <v>0</v>
      </c>
      <c r="M60" s="46">
        <f t="shared" si="47"/>
        <v>0</v>
      </c>
      <c r="N60" s="46">
        <f t="shared" si="47"/>
        <v>0</v>
      </c>
      <c r="O60" s="43">
        <f t="shared" si="27"/>
        <v>0</v>
      </c>
      <c r="P60" s="12">
        <f t="shared" si="28"/>
        <v>0</v>
      </c>
    </row>
    <row r="61" spans="1:16" x14ac:dyDescent="0.25">
      <c r="A61" s="1"/>
      <c r="B61" s="1" t="s">
        <v>73</v>
      </c>
      <c r="C61" s="46">
        <f t="shared" ref="C61:N61" si="48">$M25/12</f>
        <v>63.416666666666664</v>
      </c>
      <c r="D61" s="46">
        <f t="shared" si="48"/>
        <v>63.416666666666664</v>
      </c>
      <c r="E61" s="46">
        <f t="shared" si="48"/>
        <v>63.416666666666664</v>
      </c>
      <c r="F61" s="46">
        <f t="shared" si="48"/>
        <v>63.416666666666664</v>
      </c>
      <c r="G61" s="46">
        <f t="shared" si="48"/>
        <v>63.416666666666664</v>
      </c>
      <c r="H61" s="46">
        <f t="shared" si="48"/>
        <v>63.416666666666664</v>
      </c>
      <c r="I61" s="46">
        <f t="shared" si="48"/>
        <v>63.416666666666664</v>
      </c>
      <c r="J61" s="46">
        <f t="shared" si="48"/>
        <v>63.416666666666664</v>
      </c>
      <c r="K61" s="46">
        <f t="shared" si="48"/>
        <v>63.416666666666664</v>
      </c>
      <c r="L61" s="46">
        <f t="shared" si="48"/>
        <v>63.416666666666664</v>
      </c>
      <c r="M61" s="46">
        <f t="shared" si="48"/>
        <v>63.416666666666664</v>
      </c>
      <c r="N61" s="46">
        <f t="shared" si="48"/>
        <v>63.416666666666664</v>
      </c>
      <c r="O61" s="43">
        <f t="shared" si="27"/>
        <v>760.99999999999989</v>
      </c>
      <c r="P61" s="12">
        <f t="shared" si="28"/>
        <v>0</v>
      </c>
    </row>
    <row r="62" spans="1:16" x14ac:dyDescent="0.25">
      <c r="A62" s="1"/>
      <c r="B62" s="1" t="s">
        <v>74</v>
      </c>
      <c r="C62" s="46">
        <f t="shared" ref="C62:N62" si="49">$M26/12</f>
        <v>25</v>
      </c>
      <c r="D62" s="46">
        <f t="shared" si="49"/>
        <v>25</v>
      </c>
      <c r="E62" s="46">
        <f t="shared" si="49"/>
        <v>25</v>
      </c>
      <c r="F62" s="46">
        <f t="shared" si="49"/>
        <v>25</v>
      </c>
      <c r="G62" s="46">
        <f t="shared" si="49"/>
        <v>25</v>
      </c>
      <c r="H62" s="46">
        <f t="shared" si="49"/>
        <v>25</v>
      </c>
      <c r="I62" s="46">
        <f t="shared" si="49"/>
        <v>25</v>
      </c>
      <c r="J62" s="46">
        <f t="shared" si="49"/>
        <v>25</v>
      </c>
      <c r="K62" s="46">
        <f t="shared" si="49"/>
        <v>25</v>
      </c>
      <c r="L62" s="46">
        <f t="shared" si="49"/>
        <v>25</v>
      </c>
      <c r="M62" s="46">
        <f t="shared" si="49"/>
        <v>25</v>
      </c>
      <c r="N62" s="46">
        <f t="shared" si="49"/>
        <v>25</v>
      </c>
      <c r="O62" s="43">
        <f t="shared" si="27"/>
        <v>300</v>
      </c>
      <c r="P62" s="12">
        <f t="shared" si="28"/>
        <v>0</v>
      </c>
    </row>
    <row r="63" spans="1:16" x14ac:dyDescent="0.25">
      <c r="A63" s="1"/>
      <c r="B63" s="1" t="s">
        <v>75</v>
      </c>
      <c r="C63" s="46">
        <f t="shared" ref="C63:N63" si="50">$M27/12</f>
        <v>0</v>
      </c>
      <c r="D63" s="46">
        <f t="shared" si="50"/>
        <v>0</v>
      </c>
      <c r="E63" s="46">
        <f t="shared" si="50"/>
        <v>0</v>
      </c>
      <c r="F63" s="46">
        <f t="shared" si="50"/>
        <v>0</v>
      </c>
      <c r="G63" s="46">
        <f t="shared" si="50"/>
        <v>0</v>
      </c>
      <c r="H63" s="46">
        <f t="shared" si="50"/>
        <v>0</v>
      </c>
      <c r="I63" s="46">
        <f t="shared" si="50"/>
        <v>0</v>
      </c>
      <c r="J63" s="46">
        <f t="shared" si="50"/>
        <v>0</v>
      </c>
      <c r="K63" s="46">
        <f t="shared" si="50"/>
        <v>0</v>
      </c>
      <c r="L63" s="46">
        <f t="shared" si="50"/>
        <v>0</v>
      </c>
      <c r="M63" s="46">
        <f t="shared" si="50"/>
        <v>0</v>
      </c>
      <c r="N63" s="46">
        <f t="shared" si="50"/>
        <v>0</v>
      </c>
      <c r="O63" s="43">
        <f t="shared" si="27"/>
        <v>0</v>
      </c>
      <c r="P63" s="12">
        <f t="shared" si="28"/>
        <v>0</v>
      </c>
    </row>
    <row r="64" spans="1:16" x14ac:dyDescent="0.25">
      <c r="A64" s="1"/>
      <c r="B64" s="1" t="s">
        <v>76</v>
      </c>
      <c r="C64" s="46">
        <f t="shared" ref="C64:N64" si="51">$M28/12</f>
        <v>0</v>
      </c>
      <c r="D64" s="46">
        <f t="shared" si="51"/>
        <v>0</v>
      </c>
      <c r="E64" s="46">
        <f t="shared" si="51"/>
        <v>0</v>
      </c>
      <c r="F64" s="46">
        <f t="shared" si="51"/>
        <v>0</v>
      </c>
      <c r="G64" s="46">
        <f t="shared" si="51"/>
        <v>0</v>
      </c>
      <c r="H64" s="46">
        <f t="shared" si="51"/>
        <v>0</v>
      </c>
      <c r="I64" s="46">
        <f t="shared" si="51"/>
        <v>0</v>
      </c>
      <c r="J64" s="46">
        <f t="shared" si="51"/>
        <v>0</v>
      </c>
      <c r="K64" s="46">
        <f t="shared" si="51"/>
        <v>0</v>
      </c>
      <c r="L64" s="46">
        <f t="shared" si="51"/>
        <v>0</v>
      </c>
      <c r="M64" s="46">
        <f t="shared" si="51"/>
        <v>0</v>
      </c>
      <c r="N64" s="46">
        <f t="shared" si="51"/>
        <v>0</v>
      </c>
      <c r="O64" s="43">
        <f t="shared" si="27"/>
        <v>0</v>
      </c>
      <c r="P64" s="12">
        <f t="shared" si="28"/>
        <v>0</v>
      </c>
    </row>
    <row r="65" spans="1:16" x14ac:dyDescent="0.25">
      <c r="A65" s="1"/>
      <c r="B65" s="1" t="s">
        <v>77</v>
      </c>
      <c r="C65" s="46">
        <f t="shared" ref="C65:N65" si="52">$M29/12</f>
        <v>12.5</v>
      </c>
      <c r="D65" s="46">
        <f t="shared" si="52"/>
        <v>12.5</v>
      </c>
      <c r="E65" s="46">
        <f t="shared" si="52"/>
        <v>12.5</v>
      </c>
      <c r="F65" s="46">
        <f t="shared" si="52"/>
        <v>12.5</v>
      </c>
      <c r="G65" s="46">
        <f t="shared" si="52"/>
        <v>12.5</v>
      </c>
      <c r="H65" s="46">
        <f t="shared" si="52"/>
        <v>12.5</v>
      </c>
      <c r="I65" s="46">
        <f t="shared" si="52"/>
        <v>12.5</v>
      </c>
      <c r="J65" s="46">
        <f t="shared" si="52"/>
        <v>12.5</v>
      </c>
      <c r="K65" s="46">
        <f t="shared" si="52"/>
        <v>12.5</v>
      </c>
      <c r="L65" s="46">
        <f t="shared" si="52"/>
        <v>12.5</v>
      </c>
      <c r="M65" s="46">
        <f t="shared" si="52"/>
        <v>12.5</v>
      </c>
      <c r="N65" s="46">
        <f t="shared" si="52"/>
        <v>12.5</v>
      </c>
      <c r="O65" s="43">
        <f t="shared" si="27"/>
        <v>150</v>
      </c>
      <c r="P65" s="12">
        <f t="shared" si="28"/>
        <v>0</v>
      </c>
    </row>
    <row r="66" spans="1:16" x14ac:dyDescent="0.25">
      <c r="A66" s="1"/>
      <c r="B66" s="1" t="s">
        <v>78</v>
      </c>
      <c r="C66" s="46">
        <f t="shared" ref="C66:N66" si="53">$M30/12</f>
        <v>2567.5</v>
      </c>
      <c r="D66" s="46">
        <f t="shared" si="53"/>
        <v>2567.5</v>
      </c>
      <c r="E66" s="46">
        <f t="shared" si="53"/>
        <v>2567.5</v>
      </c>
      <c r="F66" s="46">
        <f t="shared" si="53"/>
        <v>2567.5</v>
      </c>
      <c r="G66" s="46">
        <f t="shared" si="53"/>
        <v>2567.5</v>
      </c>
      <c r="H66" s="46">
        <f t="shared" si="53"/>
        <v>2567.5</v>
      </c>
      <c r="I66" s="46">
        <f t="shared" si="53"/>
        <v>2567.5</v>
      </c>
      <c r="J66" s="46">
        <f t="shared" si="53"/>
        <v>2567.5</v>
      </c>
      <c r="K66" s="46">
        <f t="shared" si="53"/>
        <v>2567.5</v>
      </c>
      <c r="L66" s="46">
        <f t="shared" si="53"/>
        <v>2567.5</v>
      </c>
      <c r="M66" s="46">
        <f t="shared" si="53"/>
        <v>2567.5</v>
      </c>
      <c r="N66" s="46">
        <f t="shared" si="53"/>
        <v>2567.5</v>
      </c>
      <c r="O66" s="43">
        <f t="shared" si="27"/>
        <v>30810</v>
      </c>
      <c r="P66" s="12">
        <f t="shared" si="28"/>
        <v>0</v>
      </c>
    </row>
    <row r="67" spans="1:16" x14ac:dyDescent="0.25">
      <c r="A67" s="1"/>
      <c r="B67" s="1" t="s">
        <v>79</v>
      </c>
      <c r="C67" s="46">
        <f t="shared" ref="C67:N67" si="54">$M31/12</f>
        <v>0</v>
      </c>
      <c r="D67" s="46">
        <f t="shared" si="54"/>
        <v>0</v>
      </c>
      <c r="E67" s="46">
        <f t="shared" si="54"/>
        <v>0</v>
      </c>
      <c r="F67" s="46">
        <f t="shared" si="54"/>
        <v>0</v>
      </c>
      <c r="G67" s="46">
        <f t="shared" si="54"/>
        <v>0</v>
      </c>
      <c r="H67" s="46">
        <f t="shared" si="54"/>
        <v>0</v>
      </c>
      <c r="I67" s="46">
        <f t="shared" si="54"/>
        <v>0</v>
      </c>
      <c r="J67" s="46">
        <f t="shared" si="54"/>
        <v>0</v>
      </c>
      <c r="K67" s="46">
        <f t="shared" si="54"/>
        <v>0</v>
      </c>
      <c r="L67" s="46">
        <f t="shared" si="54"/>
        <v>0</v>
      </c>
      <c r="M67" s="46">
        <f t="shared" si="54"/>
        <v>0</v>
      </c>
      <c r="N67" s="46">
        <f t="shared" si="54"/>
        <v>0</v>
      </c>
      <c r="O67" s="43">
        <f t="shared" si="27"/>
        <v>0</v>
      </c>
      <c r="P67" s="12">
        <f t="shared" si="28"/>
        <v>0</v>
      </c>
    </row>
    <row r="68" spans="1:16" x14ac:dyDescent="0.25">
      <c r="A68" s="1"/>
      <c r="B68" s="1" t="s">
        <v>80</v>
      </c>
      <c r="C68" s="46">
        <f t="shared" ref="C68:N68" si="55">$M32/12</f>
        <v>1300</v>
      </c>
      <c r="D68" s="46">
        <f t="shared" si="55"/>
        <v>1300</v>
      </c>
      <c r="E68" s="46">
        <f t="shared" si="55"/>
        <v>1300</v>
      </c>
      <c r="F68" s="46">
        <f t="shared" si="55"/>
        <v>1300</v>
      </c>
      <c r="G68" s="46">
        <f t="shared" si="55"/>
        <v>1300</v>
      </c>
      <c r="H68" s="46">
        <f t="shared" si="55"/>
        <v>1300</v>
      </c>
      <c r="I68" s="46">
        <f t="shared" si="55"/>
        <v>1300</v>
      </c>
      <c r="J68" s="46">
        <f t="shared" si="55"/>
        <v>1300</v>
      </c>
      <c r="K68" s="46">
        <f t="shared" si="55"/>
        <v>1300</v>
      </c>
      <c r="L68" s="46">
        <f t="shared" si="55"/>
        <v>1300</v>
      </c>
      <c r="M68" s="46">
        <f t="shared" si="55"/>
        <v>1300</v>
      </c>
      <c r="N68" s="46">
        <f t="shared" si="55"/>
        <v>1300</v>
      </c>
      <c r="O68" s="43">
        <f t="shared" si="27"/>
        <v>15600</v>
      </c>
      <c r="P68" s="12">
        <f t="shared" si="28"/>
        <v>0</v>
      </c>
    </row>
    <row r="69" spans="1:16" x14ac:dyDescent="0.25">
      <c r="A69" s="1"/>
      <c r="B69" s="1" t="s">
        <v>81</v>
      </c>
      <c r="C69" s="46">
        <f t="shared" ref="C69:N69" si="56">$M33/12</f>
        <v>105</v>
      </c>
      <c r="D69" s="46">
        <f t="shared" si="56"/>
        <v>105</v>
      </c>
      <c r="E69" s="46">
        <f t="shared" si="56"/>
        <v>105</v>
      </c>
      <c r="F69" s="46">
        <f t="shared" si="56"/>
        <v>105</v>
      </c>
      <c r="G69" s="46">
        <f t="shared" si="56"/>
        <v>105</v>
      </c>
      <c r="H69" s="46">
        <f t="shared" si="56"/>
        <v>105</v>
      </c>
      <c r="I69" s="46">
        <f t="shared" si="56"/>
        <v>105</v>
      </c>
      <c r="J69" s="46">
        <f t="shared" si="56"/>
        <v>105</v>
      </c>
      <c r="K69" s="46">
        <f t="shared" si="56"/>
        <v>105</v>
      </c>
      <c r="L69" s="46">
        <f t="shared" si="56"/>
        <v>105</v>
      </c>
      <c r="M69" s="46">
        <f t="shared" si="56"/>
        <v>105</v>
      </c>
      <c r="N69" s="46">
        <f t="shared" si="56"/>
        <v>105</v>
      </c>
      <c r="O69" s="43">
        <f t="shared" si="27"/>
        <v>1260</v>
      </c>
      <c r="P69" s="12">
        <f t="shared" si="28"/>
        <v>0</v>
      </c>
    </row>
    <row r="70" spans="1:16" ht="15.75" thickBot="1" x14ac:dyDescent="0.3">
      <c r="A70" s="1"/>
      <c r="B70" s="1" t="s">
        <v>82</v>
      </c>
      <c r="C70" s="46">
        <f t="shared" ref="C70:N70" si="57">$M34/12</f>
        <v>0</v>
      </c>
      <c r="D70" s="46">
        <f t="shared" si="57"/>
        <v>0</v>
      </c>
      <c r="E70" s="46">
        <f t="shared" si="57"/>
        <v>0</v>
      </c>
      <c r="F70" s="46">
        <f t="shared" si="57"/>
        <v>0</v>
      </c>
      <c r="G70" s="46">
        <f t="shared" si="57"/>
        <v>0</v>
      </c>
      <c r="H70" s="46">
        <f t="shared" si="57"/>
        <v>0</v>
      </c>
      <c r="I70" s="46">
        <f t="shared" si="57"/>
        <v>0</v>
      </c>
      <c r="J70" s="46">
        <f t="shared" si="57"/>
        <v>0</v>
      </c>
      <c r="K70" s="46">
        <f t="shared" si="57"/>
        <v>0</v>
      </c>
      <c r="L70" s="46">
        <f t="shared" si="57"/>
        <v>0</v>
      </c>
      <c r="M70" s="46">
        <f t="shared" si="57"/>
        <v>0</v>
      </c>
      <c r="N70" s="46">
        <f t="shared" si="57"/>
        <v>0</v>
      </c>
      <c r="O70" s="43">
        <f t="shared" si="27"/>
        <v>0</v>
      </c>
      <c r="P70" s="12">
        <f t="shared" si="28"/>
        <v>0</v>
      </c>
    </row>
    <row r="71" spans="1:16" ht="15.75" thickBot="1" x14ac:dyDescent="0.3">
      <c r="A71" s="1" t="s">
        <v>83</v>
      </c>
      <c r="B71" s="1"/>
      <c r="C71" s="7">
        <f>ROUND(SUM(C60:C70),5)</f>
        <v>4073.4166700000001</v>
      </c>
      <c r="D71" s="7">
        <f t="shared" ref="D71:N71" si="58">ROUND(SUM(D60:D70),5)</f>
        <v>4073.4166700000001</v>
      </c>
      <c r="E71" s="7">
        <f t="shared" si="58"/>
        <v>4073.4166700000001</v>
      </c>
      <c r="F71" s="7">
        <f t="shared" si="58"/>
        <v>4073.4166700000001</v>
      </c>
      <c r="G71" s="7">
        <f t="shared" si="58"/>
        <v>4073.4166700000001</v>
      </c>
      <c r="H71" s="7">
        <f t="shared" si="58"/>
        <v>4073.4166700000001</v>
      </c>
      <c r="I71" s="7">
        <f t="shared" si="58"/>
        <v>4073.4166700000001</v>
      </c>
      <c r="J71" s="7">
        <f t="shared" si="58"/>
        <v>4073.4166700000001</v>
      </c>
      <c r="K71" s="7">
        <f t="shared" si="58"/>
        <v>4073.4166700000001</v>
      </c>
      <c r="L71" s="7">
        <f t="shared" si="58"/>
        <v>4073.4166700000001</v>
      </c>
      <c r="M71" s="7">
        <f t="shared" si="58"/>
        <v>4073.4166700000001</v>
      </c>
      <c r="N71" s="7">
        <f t="shared" si="58"/>
        <v>4073.4166700000001</v>
      </c>
      <c r="O71" s="7">
        <f t="shared" ref="O71" si="59">ROUND(SUM(O60:O70),5)</f>
        <v>48881</v>
      </c>
      <c r="P71" s="7">
        <f t="shared" ref="P71" si="60">ROUND(SUM(P60:P70),5)</f>
        <v>0</v>
      </c>
    </row>
    <row r="72" spans="1:16" ht="15.75" thickTop="1" x14ac:dyDescent="0.25"/>
  </sheetData>
  <mergeCells count="1">
    <mergeCell ref="M1:Q1"/>
  </mergeCells>
  <pageMargins left="0.7" right="0.7" top="0.75" bottom="0.75" header="0.3" footer="0.3"/>
  <pageSetup scale="45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FFFF00"/>
    <pageSetUpPr fitToPage="1"/>
  </sheetPr>
  <dimension ref="A1:R54"/>
  <sheetViews>
    <sheetView workbookViewId="0">
      <pane xSplit="2" ySplit="2" topLeftCell="H3" activePane="bottomRight" state="frozen"/>
      <selection activeCell="G29" sqref="G29"/>
      <selection pane="topRight" activeCell="G29" sqref="G29"/>
      <selection pane="bottomLeft" activeCell="G29" sqref="G29"/>
      <selection pane="bottomRight" activeCell="O25" sqref="O25"/>
    </sheetView>
  </sheetViews>
  <sheetFormatPr defaultRowHeight="15" x14ac:dyDescent="0.25"/>
  <cols>
    <col min="2" max="2" width="32.42578125" bestFit="1" customWidth="1"/>
    <col min="3" max="12" width="10.42578125" bestFit="1" customWidth="1"/>
    <col min="13" max="14" width="10.7109375" bestFit="1" customWidth="1"/>
    <col min="15" max="15" width="11.5703125" bestFit="1" customWidth="1"/>
    <col min="16" max="17" width="10.5703125" bestFit="1" customWidth="1"/>
  </cols>
  <sheetData>
    <row r="1" spans="1:18" x14ac:dyDescent="0.25">
      <c r="A1" s="51">
        <f>'Master Input Tab'!B3</f>
        <v>1.4999999999999999E-2</v>
      </c>
      <c r="K1" t="s">
        <v>170</v>
      </c>
      <c r="M1" s="90" t="s">
        <v>132</v>
      </c>
      <c r="N1" s="91"/>
      <c r="O1" s="91"/>
      <c r="P1" s="91"/>
      <c r="Q1" s="92"/>
      <c r="R1" s="8" t="s">
        <v>134</v>
      </c>
    </row>
    <row r="2" spans="1:18" ht="15.75" thickBot="1" x14ac:dyDescent="0.3">
      <c r="A2" s="52">
        <f>'Master Input Tab'!B4</f>
        <v>0.03</v>
      </c>
      <c r="C2" s="5">
        <v>2005</v>
      </c>
      <c r="D2" s="6">
        <v>2006</v>
      </c>
      <c r="E2" s="6">
        <v>2007</v>
      </c>
      <c r="F2" s="6">
        <v>2008</v>
      </c>
      <c r="G2" s="6">
        <v>2009</v>
      </c>
      <c r="H2" s="6">
        <v>2010</v>
      </c>
      <c r="I2" s="6">
        <v>2011</v>
      </c>
      <c r="J2" s="6">
        <v>2012</v>
      </c>
      <c r="K2" s="6">
        <v>2013</v>
      </c>
      <c r="L2" s="6" t="s">
        <v>171</v>
      </c>
      <c r="M2" s="81" t="str">
        <f>'Total Summary'!$H$4</f>
        <v>2014</v>
      </c>
      <c r="N2" s="81">
        <f>'Total Summary'!$I$4</f>
        <v>2015</v>
      </c>
      <c r="O2" s="81">
        <f>'Total Summary'!$J$4</f>
        <v>2016</v>
      </c>
      <c r="P2" s="81">
        <f>'Total Summary'!$K$4</f>
        <v>2017</v>
      </c>
      <c r="Q2" s="81">
        <f>'Total Summary'!$L$4</f>
        <v>2018</v>
      </c>
    </row>
    <row r="3" spans="1:18" x14ac:dyDescent="0.25">
      <c r="A3" s="1" t="s">
        <v>84</v>
      </c>
      <c r="B3" s="1"/>
      <c r="C3" s="2"/>
      <c r="D3" s="2"/>
      <c r="E3" s="2"/>
      <c r="F3" s="2"/>
      <c r="G3" s="2"/>
      <c r="H3" s="2"/>
      <c r="I3" s="2"/>
      <c r="J3" s="2"/>
    </row>
    <row r="4" spans="1:18" x14ac:dyDescent="0.25">
      <c r="A4" s="1"/>
      <c r="B4" s="1" t="s">
        <v>85</v>
      </c>
      <c r="C4" s="2">
        <v>5139.96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f t="shared" ref="L4" si="0">SUM(C4:K4)/10</f>
        <v>513.99599999999998</v>
      </c>
      <c r="M4" s="44">
        <v>0</v>
      </c>
      <c r="N4" s="49">
        <f>M4</f>
        <v>0</v>
      </c>
      <c r="O4" s="49">
        <f t="shared" ref="O4:Q4" si="1">N4</f>
        <v>0</v>
      </c>
      <c r="P4" s="49">
        <f t="shared" si="1"/>
        <v>0</v>
      </c>
      <c r="Q4" s="49">
        <f t="shared" si="1"/>
        <v>0</v>
      </c>
    </row>
    <row r="5" spans="1:18" x14ac:dyDescent="0.25">
      <c r="A5" s="1"/>
      <c r="B5" s="1" t="s">
        <v>86</v>
      </c>
      <c r="C5" s="2">
        <v>11620.72</v>
      </c>
      <c r="D5" s="2">
        <v>16396.509999999998</v>
      </c>
      <c r="E5" s="2">
        <v>22155.08</v>
      </c>
      <c r="F5" s="2">
        <v>9066.41</v>
      </c>
      <c r="G5" s="2">
        <v>112546.99</v>
      </c>
      <c r="H5" s="2">
        <v>191034.5</v>
      </c>
      <c r="I5" s="2">
        <v>46327.65</v>
      </c>
      <c r="J5" s="2">
        <v>91168.42</v>
      </c>
      <c r="K5" s="2">
        <f>VLOOKUP(B5,Summary!F:H,3,FALSE)/8*12</f>
        <v>5857.5150000000003</v>
      </c>
      <c r="L5" s="2">
        <f t="shared" ref="L5:L24" si="2">SUM(C5:K5)/10</f>
        <v>50617.379500000003</v>
      </c>
      <c r="M5" s="44">
        <v>75000</v>
      </c>
      <c r="N5" s="44">
        <v>75000</v>
      </c>
      <c r="O5" s="44">
        <v>50000</v>
      </c>
      <c r="P5" s="44">
        <v>50000</v>
      </c>
      <c r="Q5" s="44">
        <v>50000</v>
      </c>
    </row>
    <row r="6" spans="1:18" x14ac:dyDescent="0.25">
      <c r="A6" s="1"/>
      <c r="B6" s="1" t="s">
        <v>87</v>
      </c>
      <c r="C6" s="2">
        <v>0</v>
      </c>
      <c r="D6" s="2">
        <v>0</v>
      </c>
      <c r="E6" s="2">
        <v>127.92</v>
      </c>
      <c r="F6" s="2">
        <v>4524.66</v>
      </c>
      <c r="G6" s="2">
        <v>0</v>
      </c>
      <c r="H6" s="2">
        <v>0</v>
      </c>
      <c r="I6" s="2">
        <v>2.58</v>
      </c>
      <c r="J6" s="2">
        <v>0</v>
      </c>
      <c r="K6" s="2">
        <v>0</v>
      </c>
      <c r="L6" s="2">
        <f t="shared" si="2"/>
        <v>465.51599999999996</v>
      </c>
      <c r="M6" s="44">
        <v>0</v>
      </c>
      <c r="N6" s="53">
        <f>+M6*(1+$A$1)</f>
        <v>0</v>
      </c>
      <c r="O6" s="53">
        <f t="shared" ref="O6" si="3">+N6*(1+$A$1)</f>
        <v>0</v>
      </c>
      <c r="P6" s="53">
        <f t="shared" ref="P6" si="4">+O6*(1+$A$1)</f>
        <v>0</v>
      </c>
      <c r="Q6" s="53">
        <f t="shared" ref="Q6" si="5">+P6*(1+$A$1)</f>
        <v>0</v>
      </c>
    </row>
    <row r="7" spans="1:18" x14ac:dyDescent="0.25">
      <c r="A7" s="1"/>
      <c r="B7" s="1" t="s">
        <v>88</v>
      </c>
      <c r="C7" s="2">
        <v>2655.07</v>
      </c>
      <c r="D7" s="2">
        <v>286.45999999999998</v>
      </c>
      <c r="E7" s="2">
        <v>598</v>
      </c>
      <c r="F7" s="2">
        <v>0</v>
      </c>
      <c r="G7" s="2">
        <v>5172</v>
      </c>
      <c r="H7" s="2">
        <v>0</v>
      </c>
      <c r="I7" s="2">
        <v>25157</v>
      </c>
      <c r="J7" s="2">
        <v>567.88</v>
      </c>
      <c r="K7" s="2">
        <v>0</v>
      </c>
      <c r="L7" s="2">
        <f t="shared" si="2"/>
        <v>3443.6409999999996</v>
      </c>
      <c r="M7" s="44">
        <v>0</v>
      </c>
      <c r="N7" s="44">
        <v>14000</v>
      </c>
      <c r="O7" s="44">
        <v>0</v>
      </c>
      <c r="P7" s="44">
        <v>0</v>
      </c>
      <c r="Q7" s="44">
        <v>0</v>
      </c>
    </row>
    <row r="8" spans="1:18" x14ac:dyDescent="0.25">
      <c r="A8" s="1"/>
      <c r="B8" s="1" t="s">
        <v>89</v>
      </c>
      <c r="C8" s="2">
        <v>13464.02</v>
      </c>
      <c r="D8" s="2">
        <v>9342.92</v>
      </c>
      <c r="E8" s="2">
        <v>5751.98</v>
      </c>
      <c r="F8" s="2">
        <v>7898.87</v>
      </c>
      <c r="G8" s="2">
        <v>6536.3</v>
      </c>
      <c r="H8" s="2">
        <v>2401.54</v>
      </c>
      <c r="I8" s="2">
        <v>11642.12</v>
      </c>
      <c r="J8" s="2">
        <v>7208.19</v>
      </c>
      <c r="K8" s="2">
        <f>VLOOKUP(B8,Summary!F:H,3,FALSE)/8*12</f>
        <v>7954.6350000000002</v>
      </c>
      <c r="L8" s="2">
        <f t="shared" si="2"/>
        <v>7220.0575000000008</v>
      </c>
      <c r="M8" s="44">
        <v>6500</v>
      </c>
      <c r="N8" s="53">
        <f t="shared" ref="N8:N24" si="6">+M8*(1+$A$1)</f>
        <v>6597.4999999999991</v>
      </c>
      <c r="O8" s="53">
        <f t="shared" ref="O8:O24" si="7">+N8*(1+$A$1)</f>
        <v>6696.4624999999987</v>
      </c>
      <c r="P8" s="53">
        <f t="shared" ref="P8:P24" si="8">+O8*(1+$A$1)</f>
        <v>6796.9094374999977</v>
      </c>
      <c r="Q8" s="53">
        <f t="shared" ref="Q8:Q24" si="9">+P8*(1+$A$1)</f>
        <v>6898.8630790624966</v>
      </c>
    </row>
    <row r="9" spans="1:18" x14ac:dyDescent="0.25">
      <c r="A9" s="1"/>
      <c r="B9" s="1" t="s">
        <v>90</v>
      </c>
      <c r="C9" s="2">
        <v>798.5</v>
      </c>
      <c r="D9" s="2">
        <v>195</v>
      </c>
      <c r="E9" s="2">
        <v>0</v>
      </c>
      <c r="F9" s="2">
        <v>325</v>
      </c>
      <c r="G9" s="2">
        <v>0</v>
      </c>
      <c r="H9" s="2">
        <v>200</v>
      </c>
      <c r="I9" s="2">
        <v>0</v>
      </c>
      <c r="J9" s="2">
        <v>550</v>
      </c>
      <c r="K9" s="2">
        <v>0</v>
      </c>
      <c r="L9" s="2">
        <f t="shared" si="2"/>
        <v>206.85</v>
      </c>
      <c r="M9" s="44">
        <v>0</v>
      </c>
      <c r="N9" s="53">
        <f t="shared" si="6"/>
        <v>0</v>
      </c>
      <c r="O9" s="53">
        <f t="shared" si="7"/>
        <v>0</v>
      </c>
      <c r="P9" s="53">
        <f t="shared" si="8"/>
        <v>0</v>
      </c>
      <c r="Q9" s="53">
        <f t="shared" si="9"/>
        <v>0</v>
      </c>
    </row>
    <row r="10" spans="1:18" x14ac:dyDescent="0.25">
      <c r="A10" s="1"/>
      <c r="B10" s="1" t="s">
        <v>91</v>
      </c>
      <c r="C10" s="2">
        <v>3052.2</v>
      </c>
      <c r="D10" s="2">
        <v>3845.22</v>
      </c>
      <c r="E10" s="2">
        <v>5336.64</v>
      </c>
      <c r="F10" s="2">
        <v>6198.71</v>
      </c>
      <c r="G10" s="2">
        <v>5667.91</v>
      </c>
      <c r="H10" s="2">
        <v>3962</v>
      </c>
      <c r="I10" s="2">
        <v>6309.28</v>
      </c>
      <c r="J10" s="2">
        <v>4724.62</v>
      </c>
      <c r="K10" s="2">
        <f>VLOOKUP(B10,Summary!F:H,3,FALSE)/8*12</f>
        <v>2883.75</v>
      </c>
      <c r="L10" s="2">
        <f t="shared" si="2"/>
        <v>4198.0330000000004</v>
      </c>
      <c r="M10" s="44">
        <v>4500</v>
      </c>
      <c r="N10" s="53">
        <f t="shared" si="6"/>
        <v>4567.5</v>
      </c>
      <c r="O10" s="53">
        <f t="shared" si="7"/>
        <v>4636.0124999999998</v>
      </c>
      <c r="P10" s="53">
        <f t="shared" si="8"/>
        <v>4705.5526874999996</v>
      </c>
      <c r="Q10" s="53">
        <f t="shared" si="9"/>
        <v>4776.1359778124988</v>
      </c>
    </row>
    <row r="11" spans="1:18" x14ac:dyDescent="0.25">
      <c r="A11" s="1"/>
      <c r="B11" s="1" t="s">
        <v>92</v>
      </c>
      <c r="C11" s="2">
        <v>1167.22</v>
      </c>
      <c r="D11" s="2">
        <v>1248</v>
      </c>
      <c r="E11" s="2">
        <v>1201.3</v>
      </c>
      <c r="F11" s="2">
        <v>1719.71</v>
      </c>
      <c r="G11" s="2">
        <v>1787.14</v>
      </c>
      <c r="H11" s="2">
        <v>952.58</v>
      </c>
      <c r="I11" s="2">
        <v>1885.6</v>
      </c>
      <c r="J11" s="2">
        <v>2620.77</v>
      </c>
      <c r="K11" s="2">
        <v>0</v>
      </c>
      <c r="L11" s="2">
        <f t="shared" si="2"/>
        <v>1258.2320000000002</v>
      </c>
      <c r="M11" s="44">
        <v>1500</v>
      </c>
      <c r="N11" s="53">
        <f t="shared" si="6"/>
        <v>1522.4999999999998</v>
      </c>
      <c r="O11" s="53">
        <f t="shared" si="7"/>
        <v>1545.3374999999996</v>
      </c>
      <c r="P11" s="53">
        <f t="shared" si="8"/>
        <v>1568.5175624999995</v>
      </c>
      <c r="Q11" s="53">
        <f t="shared" si="9"/>
        <v>1592.0453259374992</v>
      </c>
    </row>
    <row r="12" spans="1:18" x14ac:dyDescent="0.25">
      <c r="A12" s="1"/>
      <c r="B12" s="1" t="s">
        <v>93</v>
      </c>
      <c r="C12" s="2">
        <v>373</v>
      </c>
      <c r="D12" s="2">
        <v>355</v>
      </c>
      <c r="E12" s="2">
        <v>576</v>
      </c>
      <c r="F12" s="2">
        <v>530</v>
      </c>
      <c r="G12" s="2">
        <v>376.59</v>
      </c>
      <c r="H12" s="2">
        <v>376</v>
      </c>
      <c r="I12" s="2">
        <v>358.75</v>
      </c>
      <c r="J12" s="2">
        <v>0</v>
      </c>
      <c r="K12" s="2">
        <f>VLOOKUP(B12,Summary!F:H,3,FALSE)/8*12</f>
        <v>237</v>
      </c>
      <c r="L12" s="2">
        <f t="shared" si="2"/>
        <v>318.23400000000004</v>
      </c>
      <c r="M12" s="44">
        <v>350</v>
      </c>
      <c r="N12" s="53">
        <f t="shared" si="6"/>
        <v>355.24999999999994</v>
      </c>
      <c r="O12" s="53">
        <f t="shared" si="7"/>
        <v>360.5787499999999</v>
      </c>
      <c r="P12" s="53">
        <f t="shared" si="8"/>
        <v>365.98743124999987</v>
      </c>
      <c r="Q12" s="53">
        <f t="shared" si="9"/>
        <v>371.47724271874984</v>
      </c>
    </row>
    <row r="13" spans="1:18" x14ac:dyDescent="0.25">
      <c r="A13" s="1"/>
      <c r="B13" s="1" t="s">
        <v>94</v>
      </c>
      <c r="C13" s="2">
        <v>16704.7</v>
      </c>
      <c r="D13" s="2">
        <v>20250</v>
      </c>
      <c r="E13" s="2">
        <v>15600</v>
      </c>
      <c r="F13" s="2">
        <v>6800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f t="shared" si="2"/>
        <v>5935.4699999999993</v>
      </c>
      <c r="M13" s="44">
        <v>0</v>
      </c>
      <c r="N13" s="53">
        <f t="shared" si="6"/>
        <v>0</v>
      </c>
      <c r="O13" s="53">
        <f t="shared" si="7"/>
        <v>0</v>
      </c>
      <c r="P13" s="53">
        <f t="shared" si="8"/>
        <v>0</v>
      </c>
      <c r="Q13" s="53">
        <f t="shared" si="9"/>
        <v>0</v>
      </c>
    </row>
    <row r="14" spans="1:18" x14ac:dyDescent="0.25">
      <c r="A14" s="1"/>
      <c r="B14" s="1" t="s">
        <v>95</v>
      </c>
      <c r="C14" s="2">
        <v>1210.99</v>
      </c>
      <c r="D14" s="2">
        <v>1165.1600000000001</v>
      </c>
      <c r="E14" s="2">
        <v>1327.6</v>
      </c>
      <c r="F14" s="2">
        <v>1637.41</v>
      </c>
      <c r="G14" s="2">
        <v>1140.44</v>
      </c>
      <c r="H14" s="2">
        <v>1241.48</v>
      </c>
      <c r="I14" s="2">
        <v>1121.6300000000001</v>
      </c>
      <c r="J14" s="2">
        <v>1115.42</v>
      </c>
      <c r="K14" s="2">
        <f>VLOOKUP(B14,Summary!F:H,3,FALSE)/8*12</f>
        <v>1127.07</v>
      </c>
      <c r="L14" s="2">
        <f t="shared" si="2"/>
        <v>1108.7199999999998</v>
      </c>
      <c r="M14" s="44">
        <v>1200</v>
      </c>
      <c r="N14" s="53">
        <f t="shared" si="6"/>
        <v>1217.9999999999998</v>
      </c>
      <c r="O14" s="53">
        <f t="shared" si="7"/>
        <v>1236.2699999999998</v>
      </c>
      <c r="P14" s="53">
        <f t="shared" si="8"/>
        <v>1254.8140499999997</v>
      </c>
      <c r="Q14" s="53">
        <f t="shared" si="9"/>
        <v>1273.6362607499996</v>
      </c>
    </row>
    <row r="15" spans="1:18" x14ac:dyDescent="0.25">
      <c r="A15" s="1"/>
      <c r="B15" s="1" t="s">
        <v>96</v>
      </c>
      <c r="C15" s="2">
        <v>297.14999999999998</v>
      </c>
      <c r="D15" s="2">
        <v>356.91</v>
      </c>
      <c r="E15" s="2">
        <v>301.56</v>
      </c>
      <c r="F15" s="2">
        <v>263.45</v>
      </c>
      <c r="G15" s="2">
        <v>295.64999999999998</v>
      </c>
      <c r="H15" s="2">
        <v>304.64999999999998</v>
      </c>
      <c r="I15" s="2">
        <v>361.4</v>
      </c>
      <c r="J15" s="2">
        <v>282.5</v>
      </c>
      <c r="K15" s="2">
        <f>VLOOKUP(B15,Summary!F:H,3,FALSE)/8*12</f>
        <v>325.17</v>
      </c>
      <c r="L15" s="2">
        <f t="shared" si="2"/>
        <v>278.84399999999999</v>
      </c>
      <c r="M15" s="44">
        <v>325</v>
      </c>
      <c r="N15" s="53">
        <f t="shared" si="6"/>
        <v>329.87499999999994</v>
      </c>
      <c r="O15" s="53">
        <f t="shared" si="7"/>
        <v>334.82312499999989</v>
      </c>
      <c r="P15" s="53">
        <f t="shared" si="8"/>
        <v>339.84547187499987</v>
      </c>
      <c r="Q15" s="53">
        <f t="shared" si="9"/>
        <v>344.94315395312486</v>
      </c>
    </row>
    <row r="16" spans="1:18" x14ac:dyDescent="0.25">
      <c r="A16" s="1"/>
      <c r="B16" s="1" t="s">
        <v>97</v>
      </c>
      <c r="C16" s="2">
        <v>1377.67</v>
      </c>
      <c r="D16" s="2">
        <v>0</v>
      </c>
      <c r="E16" s="2">
        <v>0</v>
      </c>
      <c r="F16" s="2">
        <v>0</v>
      </c>
      <c r="G16" s="2">
        <v>811.27</v>
      </c>
      <c r="H16" s="2">
        <v>205.75</v>
      </c>
      <c r="I16" s="2">
        <v>6027.18</v>
      </c>
      <c r="J16" s="2">
        <v>0</v>
      </c>
      <c r="K16" s="2">
        <v>0</v>
      </c>
      <c r="L16" s="2">
        <f t="shared" si="2"/>
        <v>842.18700000000013</v>
      </c>
      <c r="M16" s="44">
        <v>5500</v>
      </c>
      <c r="N16" s="53">
        <v>0</v>
      </c>
      <c r="O16" s="53">
        <v>0</v>
      </c>
      <c r="P16" s="53">
        <f t="shared" si="8"/>
        <v>0</v>
      </c>
      <c r="Q16" s="53">
        <f t="shared" si="9"/>
        <v>0</v>
      </c>
    </row>
    <row r="17" spans="1:17" x14ac:dyDescent="0.25">
      <c r="A17" s="1"/>
      <c r="B17" s="1" t="s">
        <v>98</v>
      </c>
      <c r="C17" s="2">
        <v>680.06</v>
      </c>
      <c r="D17" s="2">
        <v>3294.5</v>
      </c>
      <c r="E17" s="2">
        <v>10031</v>
      </c>
      <c r="F17" s="2">
        <v>5074.9399999999996</v>
      </c>
      <c r="G17" s="2">
        <v>11065.33</v>
      </c>
      <c r="H17" s="2">
        <v>8975.3700000000008</v>
      </c>
      <c r="I17" s="2">
        <v>2624.68</v>
      </c>
      <c r="J17" s="2">
        <v>2615.4899999999998</v>
      </c>
      <c r="K17" s="2">
        <f>VLOOKUP(B17,Summary!F:H,3,FALSE)/8*12</f>
        <v>5362.5150000000003</v>
      </c>
      <c r="L17" s="2">
        <f t="shared" si="2"/>
        <v>4972.3885</v>
      </c>
      <c r="M17" s="44">
        <v>6000</v>
      </c>
      <c r="N17" s="53">
        <f t="shared" si="6"/>
        <v>6089.9999999999991</v>
      </c>
      <c r="O17" s="53">
        <f t="shared" si="7"/>
        <v>6181.3499999999985</v>
      </c>
      <c r="P17" s="53">
        <f t="shared" si="8"/>
        <v>6274.0702499999979</v>
      </c>
      <c r="Q17" s="53">
        <f t="shared" si="9"/>
        <v>6368.1813037499969</v>
      </c>
    </row>
    <row r="18" spans="1:17" x14ac:dyDescent="0.25">
      <c r="A18" s="1"/>
      <c r="B18" s="1" t="s">
        <v>99</v>
      </c>
      <c r="C18" s="2">
        <v>1593.55</v>
      </c>
      <c r="D18" s="2">
        <v>2015.41</v>
      </c>
      <c r="E18" s="2">
        <v>2097.37</v>
      </c>
      <c r="F18" s="2">
        <v>1888.29</v>
      </c>
      <c r="G18" s="2">
        <v>656.96</v>
      </c>
      <c r="H18" s="2">
        <v>733.04</v>
      </c>
      <c r="I18" s="2">
        <v>708.28</v>
      </c>
      <c r="J18" s="2">
        <v>2851.1</v>
      </c>
      <c r="K18" s="2">
        <f>VLOOKUP(B18,Summary!F:H,3,FALSE)/8*12</f>
        <v>3616.0050000000001</v>
      </c>
      <c r="L18" s="2">
        <f t="shared" si="2"/>
        <v>1616.0005000000001</v>
      </c>
      <c r="M18" s="44">
        <v>1600</v>
      </c>
      <c r="N18" s="53">
        <f t="shared" si="6"/>
        <v>1623.9999999999998</v>
      </c>
      <c r="O18" s="53">
        <f t="shared" si="7"/>
        <v>1648.3599999999997</v>
      </c>
      <c r="P18" s="53">
        <f t="shared" si="8"/>
        <v>1673.0853999999995</v>
      </c>
      <c r="Q18" s="53">
        <f t="shared" si="9"/>
        <v>1698.1816809999993</v>
      </c>
    </row>
    <row r="19" spans="1:17" x14ac:dyDescent="0.25">
      <c r="A19" s="1"/>
      <c r="B19" s="1" t="s">
        <v>100</v>
      </c>
      <c r="C19" s="2">
        <v>426.69</v>
      </c>
      <c r="D19" s="2">
        <v>171.32</v>
      </c>
      <c r="E19" s="2">
        <v>1552.18</v>
      </c>
      <c r="F19" s="2">
        <v>1251.94</v>
      </c>
      <c r="G19" s="2">
        <v>803.49</v>
      </c>
      <c r="H19" s="2">
        <v>318.17</v>
      </c>
      <c r="I19" s="2">
        <v>523.91999999999996</v>
      </c>
      <c r="J19" s="2">
        <v>324.43</v>
      </c>
      <c r="K19" s="2">
        <v>0</v>
      </c>
      <c r="L19" s="2">
        <f t="shared" si="2"/>
        <v>537.21400000000006</v>
      </c>
      <c r="M19" s="44">
        <v>0</v>
      </c>
      <c r="N19" s="53">
        <f t="shared" si="6"/>
        <v>0</v>
      </c>
      <c r="O19" s="53">
        <f t="shared" si="7"/>
        <v>0</v>
      </c>
      <c r="P19" s="53">
        <f t="shared" si="8"/>
        <v>0</v>
      </c>
      <c r="Q19" s="53">
        <f t="shared" si="9"/>
        <v>0</v>
      </c>
    </row>
    <row r="20" spans="1:17" x14ac:dyDescent="0.25">
      <c r="A20" s="1"/>
      <c r="B20" s="1" t="s">
        <v>101</v>
      </c>
      <c r="C20" s="2">
        <v>8646.0300000000007</v>
      </c>
      <c r="D20" s="2">
        <v>5800.8</v>
      </c>
      <c r="E20" s="2">
        <v>3790.86</v>
      </c>
      <c r="F20" s="2">
        <v>2979.64</v>
      </c>
      <c r="G20" s="2">
        <v>2007.98</v>
      </c>
      <c r="H20" s="2">
        <v>1204.0899999999999</v>
      </c>
      <c r="I20" s="2">
        <v>3470.76</v>
      </c>
      <c r="J20" s="2">
        <v>2036.23</v>
      </c>
      <c r="K20" s="2">
        <f>VLOOKUP(B20,Summary!F:H,3,FALSE)/8*12</f>
        <v>1357.8150000000001</v>
      </c>
      <c r="L20" s="2">
        <f t="shared" si="2"/>
        <v>3129.4205000000002</v>
      </c>
      <c r="M20" s="44">
        <v>4000</v>
      </c>
      <c r="N20" s="53">
        <f t="shared" si="6"/>
        <v>4059.9999999999995</v>
      </c>
      <c r="O20" s="53">
        <f t="shared" si="7"/>
        <v>4120.8999999999987</v>
      </c>
      <c r="P20" s="53">
        <f t="shared" si="8"/>
        <v>4182.713499999998</v>
      </c>
      <c r="Q20" s="53">
        <f t="shared" si="9"/>
        <v>4245.4542024999973</v>
      </c>
    </row>
    <row r="21" spans="1:17" x14ac:dyDescent="0.25">
      <c r="A21" s="1"/>
      <c r="B21" s="1" t="s">
        <v>102</v>
      </c>
      <c r="C21" s="2">
        <v>0</v>
      </c>
      <c r="D21" s="2">
        <v>0</v>
      </c>
      <c r="E21" s="2">
        <v>0</v>
      </c>
      <c r="F21" s="2">
        <v>0</v>
      </c>
      <c r="G21" s="2">
        <v>497.45</v>
      </c>
      <c r="H21" s="2">
        <v>0</v>
      </c>
      <c r="I21" s="2">
        <v>0</v>
      </c>
      <c r="J21" s="2">
        <v>0</v>
      </c>
      <c r="K21" s="2">
        <v>0</v>
      </c>
      <c r="L21" s="2">
        <f t="shared" si="2"/>
        <v>49.744999999999997</v>
      </c>
      <c r="M21" s="44">
        <v>0</v>
      </c>
      <c r="N21" s="53">
        <f>M21*(1+$A$2)</f>
        <v>0</v>
      </c>
      <c r="O21" s="53">
        <f t="shared" ref="O21:Q21" si="10">N21*(1+$A$2)</f>
        <v>0</v>
      </c>
      <c r="P21" s="53">
        <f t="shared" si="10"/>
        <v>0</v>
      </c>
      <c r="Q21" s="53">
        <f t="shared" si="10"/>
        <v>0</v>
      </c>
    </row>
    <row r="22" spans="1:17" x14ac:dyDescent="0.25">
      <c r="A22" s="1"/>
      <c r="B22" s="1" t="s">
        <v>103</v>
      </c>
      <c r="C22" s="2">
        <v>2066.13</v>
      </c>
      <c r="D22" s="2">
        <v>2427.38</v>
      </c>
      <c r="E22" s="2">
        <v>4681.07</v>
      </c>
      <c r="F22" s="2">
        <v>3859.15</v>
      </c>
      <c r="G22" s="2">
        <v>3089.56</v>
      </c>
      <c r="H22" s="2">
        <v>4435.25</v>
      </c>
      <c r="I22" s="2">
        <v>2579.0700000000002</v>
      </c>
      <c r="J22" s="2">
        <v>1886.82</v>
      </c>
      <c r="K22" s="2">
        <f>VLOOKUP(B22,Summary!F:H,3,FALSE)/8*12</f>
        <v>3503.9249999999997</v>
      </c>
      <c r="L22" s="2">
        <f t="shared" si="2"/>
        <v>2852.8355000000001</v>
      </c>
      <c r="M22" s="49">
        <f>+'Master Input Tab'!$B$29*'Master Input Tab'!$C$29*'Master Input Tab'!$B$5</f>
        <v>2210</v>
      </c>
      <c r="N22" s="53">
        <f t="shared" si="6"/>
        <v>2243.1499999999996</v>
      </c>
      <c r="O22" s="53">
        <f t="shared" si="7"/>
        <v>2276.7972499999996</v>
      </c>
      <c r="P22" s="53">
        <f t="shared" si="8"/>
        <v>2310.9492087499993</v>
      </c>
      <c r="Q22" s="53">
        <f t="shared" si="9"/>
        <v>2345.6134468812493</v>
      </c>
    </row>
    <row r="23" spans="1:17" x14ac:dyDescent="0.25">
      <c r="A23" s="1"/>
      <c r="B23" s="1" t="s">
        <v>104</v>
      </c>
      <c r="C23" s="2">
        <v>1512</v>
      </c>
      <c r="D23" s="2">
        <v>0</v>
      </c>
      <c r="E23" s="2">
        <v>0</v>
      </c>
      <c r="F23" s="2">
        <v>150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f t="shared" si="2"/>
        <v>166.2</v>
      </c>
      <c r="M23" s="44">
        <v>0</v>
      </c>
      <c r="N23" s="53">
        <f t="shared" si="6"/>
        <v>0</v>
      </c>
      <c r="O23" s="53">
        <f t="shared" si="7"/>
        <v>0</v>
      </c>
      <c r="P23" s="53">
        <f t="shared" si="8"/>
        <v>0</v>
      </c>
      <c r="Q23" s="53">
        <f t="shared" si="9"/>
        <v>0</v>
      </c>
    </row>
    <row r="24" spans="1:17" ht="15.75" thickBot="1" x14ac:dyDescent="0.3">
      <c r="A24" s="1"/>
      <c r="B24" s="1" t="s">
        <v>105</v>
      </c>
      <c r="C24" s="3">
        <v>0</v>
      </c>
      <c r="D24" s="3">
        <v>0</v>
      </c>
      <c r="E24" s="3">
        <v>20746.52</v>
      </c>
      <c r="F24" s="3">
        <v>0</v>
      </c>
      <c r="G24" s="3">
        <v>4000</v>
      </c>
      <c r="H24" s="3">
        <v>0</v>
      </c>
      <c r="I24" s="3">
        <v>185</v>
      </c>
      <c r="J24" s="3">
        <v>0</v>
      </c>
      <c r="K24" s="2">
        <v>0</v>
      </c>
      <c r="L24" s="2">
        <f t="shared" si="2"/>
        <v>2493.152</v>
      </c>
      <c r="M24" s="44">
        <v>0</v>
      </c>
      <c r="N24" s="53">
        <f t="shared" si="6"/>
        <v>0</v>
      </c>
      <c r="O24" s="53">
        <f t="shared" si="7"/>
        <v>0</v>
      </c>
      <c r="P24" s="53">
        <f t="shared" si="8"/>
        <v>0</v>
      </c>
      <c r="Q24" s="53">
        <f t="shared" si="9"/>
        <v>0</v>
      </c>
    </row>
    <row r="25" spans="1:17" ht="15.75" thickBot="1" x14ac:dyDescent="0.3">
      <c r="A25" s="1" t="s">
        <v>106</v>
      </c>
      <c r="B25" s="1"/>
      <c r="C25" s="7">
        <f t="shared" ref="C25:J25" si="11">SUM(C4:C24)</f>
        <v>72785.66</v>
      </c>
      <c r="D25" s="7">
        <f t="shared" si="11"/>
        <v>67150.590000000011</v>
      </c>
      <c r="E25" s="7">
        <f t="shared" si="11"/>
        <v>95875.08</v>
      </c>
      <c r="F25" s="7">
        <f t="shared" si="11"/>
        <v>54168.180000000008</v>
      </c>
      <c r="G25" s="7">
        <f t="shared" si="11"/>
        <v>156455.06</v>
      </c>
      <c r="H25" s="7">
        <f t="shared" si="11"/>
        <v>216344.42</v>
      </c>
      <c r="I25" s="7">
        <f t="shared" si="11"/>
        <v>109284.9</v>
      </c>
      <c r="J25" s="7">
        <f t="shared" si="11"/>
        <v>117951.87000000001</v>
      </c>
      <c r="K25" s="7">
        <f t="shared" ref="K25:L25" si="12">SUM(K4:K24)</f>
        <v>32225.399999999998</v>
      </c>
      <c r="L25" s="7">
        <f t="shared" si="12"/>
        <v>92224.116000000009</v>
      </c>
      <c r="M25" s="7">
        <f t="shared" ref="M25:Q25" si="13">SUM(M4:M24)</f>
        <v>108685</v>
      </c>
      <c r="N25" s="7">
        <f t="shared" si="13"/>
        <v>117607.77499999999</v>
      </c>
      <c r="O25" s="7">
        <f t="shared" si="13"/>
        <v>79036.891625000004</v>
      </c>
      <c r="P25" s="7">
        <f t="shared" si="13"/>
        <v>79472.444999374988</v>
      </c>
      <c r="Q25" s="7">
        <f t="shared" si="13"/>
        <v>79914.531674365615</v>
      </c>
    </row>
    <row r="26" spans="1:17" ht="15.75" thickTop="1" x14ac:dyDescent="0.25"/>
    <row r="27" spans="1:17" x14ac:dyDescent="0.25">
      <c r="A27" s="8" t="s">
        <v>133</v>
      </c>
      <c r="B27" s="8"/>
    </row>
    <row r="28" spans="1:17" x14ac:dyDescent="0.25">
      <c r="A28" s="10"/>
      <c r="C28" t="s">
        <v>120</v>
      </c>
      <c r="D28" t="s">
        <v>121</v>
      </c>
      <c r="E28" t="s">
        <v>122</v>
      </c>
      <c r="F28" t="s">
        <v>129</v>
      </c>
      <c r="G28" t="s">
        <v>130</v>
      </c>
      <c r="H28" t="s">
        <v>31</v>
      </c>
      <c r="I28" t="s">
        <v>24</v>
      </c>
      <c r="J28" t="s">
        <v>26</v>
      </c>
      <c r="K28" t="s">
        <v>27</v>
      </c>
      <c r="L28" t="s">
        <v>25</v>
      </c>
      <c r="M28" t="s">
        <v>28</v>
      </c>
      <c r="N28" t="s">
        <v>29</v>
      </c>
      <c r="O28" t="s">
        <v>30</v>
      </c>
      <c r="P28" t="s">
        <v>131</v>
      </c>
    </row>
    <row r="29" spans="1:17" x14ac:dyDescent="0.25">
      <c r="A29" s="1" t="s">
        <v>84</v>
      </c>
      <c r="B29" s="1"/>
    </row>
    <row r="30" spans="1:17" x14ac:dyDescent="0.25">
      <c r="A30" s="1"/>
      <c r="B30" s="1" t="s">
        <v>85</v>
      </c>
      <c r="C30" s="46">
        <f>$M4/12</f>
        <v>0</v>
      </c>
      <c r="D30" s="46">
        <f t="shared" ref="D30:N30" si="14">$M4/12</f>
        <v>0</v>
      </c>
      <c r="E30" s="46">
        <f t="shared" si="14"/>
        <v>0</v>
      </c>
      <c r="F30" s="46">
        <f t="shared" si="14"/>
        <v>0</v>
      </c>
      <c r="G30" s="46">
        <f t="shared" si="14"/>
        <v>0</v>
      </c>
      <c r="H30" s="46">
        <f t="shared" si="14"/>
        <v>0</v>
      </c>
      <c r="I30" s="46">
        <f t="shared" si="14"/>
        <v>0</v>
      </c>
      <c r="J30" s="46">
        <f t="shared" si="14"/>
        <v>0</v>
      </c>
      <c r="K30" s="46">
        <f t="shared" si="14"/>
        <v>0</v>
      </c>
      <c r="L30" s="46">
        <f t="shared" si="14"/>
        <v>0</v>
      </c>
      <c r="M30" s="46">
        <f t="shared" si="14"/>
        <v>0</v>
      </c>
      <c r="N30" s="46">
        <f t="shared" si="14"/>
        <v>0</v>
      </c>
      <c r="O30" s="43">
        <f>SUM(C30:N30)</f>
        <v>0</v>
      </c>
      <c r="P30" s="12">
        <f>+O30-M4</f>
        <v>0</v>
      </c>
    </row>
    <row r="31" spans="1:17" x14ac:dyDescent="0.25">
      <c r="A31" s="1"/>
      <c r="B31" s="1" t="s">
        <v>86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f>+$M$5/3</f>
        <v>25000</v>
      </c>
      <c r="I31" s="46">
        <f t="shared" ref="I31:J31" si="15">+$M$5/3</f>
        <v>25000</v>
      </c>
      <c r="J31" s="46">
        <f t="shared" si="15"/>
        <v>25000</v>
      </c>
      <c r="K31" s="46">
        <v>0</v>
      </c>
      <c r="L31" s="46">
        <v>0</v>
      </c>
      <c r="M31" s="46">
        <v>0</v>
      </c>
      <c r="N31" s="46">
        <v>0</v>
      </c>
      <c r="O31" s="43">
        <f t="shared" ref="O31:O50" si="16">SUM(C31:N31)</f>
        <v>75000</v>
      </c>
      <c r="P31" s="12">
        <f>+O31-M5</f>
        <v>0</v>
      </c>
    </row>
    <row r="32" spans="1:17" x14ac:dyDescent="0.25">
      <c r="A32" s="1"/>
      <c r="B32" s="1" t="s">
        <v>87</v>
      </c>
      <c r="C32" s="46">
        <f t="shared" ref="C32:N32" si="17">$M6/12</f>
        <v>0</v>
      </c>
      <c r="D32" s="46">
        <f t="shared" si="17"/>
        <v>0</v>
      </c>
      <c r="E32" s="46">
        <f t="shared" si="17"/>
        <v>0</v>
      </c>
      <c r="F32" s="46">
        <f t="shared" si="17"/>
        <v>0</v>
      </c>
      <c r="G32" s="46">
        <f t="shared" si="17"/>
        <v>0</v>
      </c>
      <c r="H32" s="46">
        <f t="shared" si="17"/>
        <v>0</v>
      </c>
      <c r="I32" s="46">
        <f t="shared" si="17"/>
        <v>0</v>
      </c>
      <c r="J32" s="46">
        <f t="shared" si="17"/>
        <v>0</v>
      </c>
      <c r="K32" s="46">
        <f t="shared" si="17"/>
        <v>0</v>
      </c>
      <c r="L32" s="46">
        <f t="shared" si="17"/>
        <v>0</v>
      </c>
      <c r="M32" s="46">
        <f t="shared" si="17"/>
        <v>0</v>
      </c>
      <c r="N32" s="46">
        <f t="shared" si="17"/>
        <v>0</v>
      </c>
      <c r="O32" s="43">
        <f t="shared" si="16"/>
        <v>0</v>
      </c>
      <c r="P32" s="12">
        <f t="shared" ref="P32:P50" si="18">+O32-M6</f>
        <v>0</v>
      </c>
    </row>
    <row r="33" spans="1:16" x14ac:dyDescent="0.25">
      <c r="A33" s="1"/>
      <c r="B33" s="1" t="s">
        <v>88</v>
      </c>
      <c r="C33" s="46">
        <f t="shared" ref="C33:N33" si="19">$M7/12</f>
        <v>0</v>
      </c>
      <c r="D33" s="46">
        <f t="shared" si="19"/>
        <v>0</v>
      </c>
      <c r="E33" s="46">
        <f t="shared" si="19"/>
        <v>0</v>
      </c>
      <c r="F33" s="46">
        <f t="shared" si="19"/>
        <v>0</v>
      </c>
      <c r="G33" s="46">
        <f t="shared" si="19"/>
        <v>0</v>
      </c>
      <c r="H33" s="46">
        <f t="shared" si="19"/>
        <v>0</v>
      </c>
      <c r="I33" s="46">
        <f t="shared" si="19"/>
        <v>0</v>
      </c>
      <c r="J33" s="46">
        <f t="shared" si="19"/>
        <v>0</v>
      </c>
      <c r="K33" s="46">
        <f t="shared" si="19"/>
        <v>0</v>
      </c>
      <c r="L33" s="46">
        <f t="shared" si="19"/>
        <v>0</v>
      </c>
      <c r="M33" s="46">
        <f t="shared" si="19"/>
        <v>0</v>
      </c>
      <c r="N33" s="46">
        <f t="shared" si="19"/>
        <v>0</v>
      </c>
      <c r="O33" s="43">
        <f t="shared" si="16"/>
        <v>0</v>
      </c>
      <c r="P33" s="12">
        <f t="shared" si="18"/>
        <v>0</v>
      </c>
    </row>
    <row r="34" spans="1:16" x14ac:dyDescent="0.25">
      <c r="A34" s="1"/>
      <c r="B34" s="1" t="s">
        <v>89</v>
      </c>
      <c r="C34" s="46">
        <f t="shared" ref="C34:N34" si="20">$M8/12</f>
        <v>541.66666666666663</v>
      </c>
      <c r="D34" s="46">
        <f t="shared" si="20"/>
        <v>541.66666666666663</v>
      </c>
      <c r="E34" s="46">
        <f t="shared" si="20"/>
        <v>541.66666666666663</v>
      </c>
      <c r="F34" s="46">
        <f t="shared" si="20"/>
        <v>541.66666666666663</v>
      </c>
      <c r="G34" s="46">
        <f t="shared" si="20"/>
        <v>541.66666666666663</v>
      </c>
      <c r="H34" s="46">
        <f t="shared" si="20"/>
        <v>541.66666666666663</v>
      </c>
      <c r="I34" s="46">
        <f t="shared" si="20"/>
        <v>541.66666666666663</v>
      </c>
      <c r="J34" s="46">
        <f t="shared" si="20"/>
        <v>541.66666666666663</v>
      </c>
      <c r="K34" s="46">
        <f t="shared" si="20"/>
        <v>541.66666666666663</v>
      </c>
      <c r="L34" s="46">
        <f t="shared" si="20"/>
        <v>541.66666666666663</v>
      </c>
      <c r="M34" s="46">
        <f t="shared" si="20"/>
        <v>541.66666666666663</v>
      </c>
      <c r="N34" s="46">
        <f t="shared" si="20"/>
        <v>541.66666666666663</v>
      </c>
      <c r="O34" s="43">
        <f t="shared" si="16"/>
        <v>6500.0000000000009</v>
      </c>
      <c r="P34" s="12">
        <f t="shared" si="18"/>
        <v>0</v>
      </c>
    </row>
    <row r="35" spans="1:16" x14ac:dyDescent="0.25">
      <c r="A35" s="1"/>
      <c r="B35" s="1" t="s">
        <v>90</v>
      </c>
      <c r="C35" s="46">
        <f t="shared" ref="C35:N35" si="21">$M9/12</f>
        <v>0</v>
      </c>
      <c r="D35" s="46">
        <f t="shared" si="21"/>
        <v>0</v>
      </c>
      <c r="E35" s="46">
        <f t="shared" si="21"/>
        <v>0</v>
      </c>
      <c r="F35" s="46">
        <f t="shared" si="21"/>
        <v>0</v>
      </c>
      <c r="G35" s="46">
        <f t="shared" si="21"/>
        <v>0</v>
      </c>
      <c r="H35" s="46">
        <f t="shared" si="21"/>
        <v>0</v>
      </c>
      <c r="I35" s="46">
        <f t="shared" si="21"/>
        <v>0</v>
      </c>
      <c r="J35" s="46">
        <f t="shared" si="21"/>
        <v>0</v>
      </c>
      <c r="K35" s="46">
        <f t="shared" si="21"/>
        <v>0</v>
      </c>
      <c r="L35" s="46">
        <f t="shared" si="21"/>
        <v>0</v>
      </c>
      <c r="M35" s="46">
        <f t="shared" si="21"/>
        <v>0</v>
      </c>
      <c r="N35" s="46">
        <f t="shared" si="21"/>
        <v>0</v>
      </c>
      <c r="O35" s="43">
        <f t="shared" si="16"/>
        <v>0</v>
      </c>
      <c r="P35" s="12">
        <f t="shared" si="18"/>
        <v>0</v>
      </c>
    </row>
    <row r="36" spans="1:16" x14ac:dyDescent="0.25">
      <c r="A36" s="1"/>
      <c r="B36" s="1" t="s">
        <v>91</v>
      </c>
      <c r="C36" s="46">
        <f t="shared" ref="C36:N36" si="22">$M10/12</f>
        <v>375</v>
      </c>
      <c r="D36" s="46">
        <f t="shared" si="22"/>
        <v>375</v>
      </c>
      <c r="E36" s="46">
        <f t="shared" si="22"/>
        <v>375</v>
      </c>
      <c r="F36" s="46">
        <f t="shared" si="22"/>
        <v>375</v>
      </c>
      <c r="G36" s="46">
        <f t="shared" si="22"/>
        <v>375</v>
      </c>
      <c r="H36" s="46">
        <f t="shared" si="22"/>
        <v>375</v>
      </c>
      <c r="I36" s="46">
        <f t="shared" si="22"/>
        <v>375</v>
      </c>
      <c r="J36" s="46">
        <f t="shared" si="22"/>
        <v>375</v>
      </c>
      <c r="K36" s="46">
        <f t="shared" si="22"/>
        <v>375</v>
      </c>
      <c r="L36" s="46">
        <f t="shared" si="22"/>
        <v>375</v>
      </c>
      <c r="M36" s="46">
        <f t="shared" si="22"/>
        <v>375</v>
      </c>
      <c r="N36" s="46">
        <f t="shared" si="22"/>
        <v>375</v>
      </c>
      <c r="O36" s="43">
        <f t="shared" si="16"/>
        <v>4500</v>
      </c>
      <c r="P36" s="12">
        <f t="shared" si="18"/>
        <v>0</v>
      </c>
    </row>
    <row r="37" spans="1:16" x14ac:dyDescent="0.25">
      <c r="A37" s="1"/>
      <c r="B37" s="1" t="s">
        <v>92</v>
      </c>
      <c r="C37" s="46">
        <f t="shared" ref="C37:N37" si="23">$M11/12</f>
        <v>125</v>
      </c>
      <c r="D37" s="46">
        <f t="shared" si="23"/>
        <v>125</v>
      </c>
      <c r="E37" s="46">
        <f t="shared" si="23"/>
        <v>125</v>
      </c>
      <c r="F37" s="46">
        <f t="shared" si="23"/>
        <v>125</v>
      </c>
      <c r="G37" s="46">
        <f t="shared" si="23"/>
        <v>125</v>
      </c>
      <c r="H37" s="46">
        <f t="shared" si="23"/>
        <v>125</v>
      </c>
      <c r="I37" s="46">
        <f t="shared" si="23"/>
        <v>125</v>
      </c>
      <c r="J37" s="46">
        <f t="shared" si="23"/>
        <v>125</v>
      </c>
      <c r="K37" s="46">
        <f t="shared" si="23"/>
        <v>125</v>
      </c>
      <c r="L37" s="46">
        <f t="shared" si="23"/>
        <v>125</v>
      </c>
      <c r="M37" s="46">
        <f t="shared" si="23"/>
        <v>125</v>
      </c>
      <c r="N37" s="46">
        <f t="shared" si="23"/>
        <v>125</v>
      </c>
      <c r="O37" s="43">
        <f t="shared" si="16"/>
        <v>1500</v>
      </c>
      <c r="P37" s="12">
        <f t="shared" si="18"/>
        <v>0</v>
      </c>
    </row>
    <row r="38" spans="1:16" x14ac:dyDescent="0.25">
      <c r="A38" s="1"/>
      <c r="B38" s="1" t="s">
        <v>93</v>
      </c>
      <c r="C38" s="46">
        <f t="shared" ref="C38:N38" si="24">$M12/12</f>
        <v>29.166666666666668</v>
      </c>
      <c r="D38" s="46">
        <f t="shared" si="24"/>
        <v>29.166666666666668</v>
      </c>
      <c r="E38" s="46">
        <f t="shared" si="24"/>
        <v>29.166666666666668</v>
      </c>
      <c r="F38" s="46">
        <f t="shared" si="24"/>
        <v>29.166666666666668</v>
      </c>
      <c r="G38" s="46">
        <f t="shared" si="24"/>
        <v>29.166666666666668</v>
      </c>
      <c r="H38" s="46">
        <f t="shared" si="24"/>
        <v>29.166666666666668</v>
      </c>
      <c r="I38" s="46">
        <f t="shared" si="24"/>
        <v>29.166666666666668</v>
      </c>
      <c r="J38" s="46">
        <f t="shared" si="24"/>
        <v>29.166666666666668</v>
      </c>
      <c r="K38" s="46">
        <f t="shared" si="24"/>
        <v>29.166666666666668</v>
      </c>
      <c r="L38" s="46">
        <f t="shared" si="24"/>
        <v>29.166666666666668</v>
      </c>
      <c r="M38" s="46">
        <f t="shared" si="24"/>
        <v>29.166666666666668</v>
      </c>
      <c r="N38" s="46">
        <f t="shared" si="24"/>
        <v>29.166666666666668</v>
      </c>
      <c r="O38" s="43">
        <f t="shared" si="16"/>
        <v>350.00000000000006</v>
      </c>
      <c r="P38" s="12">
        <f t="shared" si="18"/>
        <v>0</v>
      </c>
    </row>
    <row r="39" spans="1:16" x14ac:dyDescent="0.25">
      <c r="A39" s="1"/>
      <c r="B39" s="1" t="s">
        <v>94</v>
      </c>
      <c r="C39" s="46">
        <f t="shared" ref="C39:N39" si="25">$M13/12</f>
        <v>0</v>
      </c>
      <c r="D39" s="46">
        <f t="shared" si="25"/>
        <v>0</v>
      </c>
      <c r="E39" s="46">
        <f t="shared" si="25"/>
        <v>0</v>
      </c>
      <c r="F39" s="46">
        <f t="shared" si="25"/>
        <v>0</v>
      </c>
      <c r="G39" s="46">
        <f t="shared" si="25"/>
        <v>0</v>
      </c>
      <c r="H39" s="46">
        <f t="shared" si="25"/>
        <v>0</v>
      </c>
      <c r="I39" s="46">
        <f t="shared" si="25"/>
        <v>0</v>
      </c>
      <c r="J39" s="46">
        <f t="shared" si="25"/>
        <v>0</v>
      </c>
      <c r="K39" s="46">
        <f t="shared" si="25"/>
        <v>0</v>
      </c>
      <c r="L39" s="46">
        <f t="shared" si="25"/>
        <v>0</v>
      </c>
      <c r="M39" s="46">
        <f t="shared" si="25"/>
        <v>0</v>
      </c>
      <c r="N39" s="46">
        <f t="shared" si="25"/>
        <v>0</v>
      </c>
      <c r="O39" s="43">
        <f t="shared" si="16"/>
        <v>0</v>
      </c>
      <c r="P39" s="12">
        <f t="shared" si="18"/>
        <v>0</v>
      </c>
    </row>
    <row r="40" spans="1:16" x14ac:dyDescent="0.25">
      <c r="A40" s="1"/>
      <c r="B40" s="1" t="s">
        <v>95</v>
      </c>
      <c r="C40" s="46">
        <f t="shared" ref="C40:N40" si="26">$M14/12</f>
        <v>100</v>
      </c>
      <c r="D40" s="46">
        <f t="shared" si="26"/>
        <v>100</v>
      </c>
      <c r="E40" s="46">
        <f t="shared" si="26"/>
        <v>100</v>
      </c>
      <c r="F40" s="46">
        <f t="shared" si="26"/>
        <v>100</v>
      </c>
      <c r="G40" s="46">
        <f t="shared" si="26"/>
        <v>100</v>
      </c>
      <c r="H40" s="46">
        <f t="shared" si="26"/>
        <v>100</v>
      </c>
      <c r="I40" s="46">
        <f t="shared" si="26"/>
        <v>100</v>
      </c>
      <c r="J40" s="46">
        <f t="shared" si="26"/>
        <v>100</v>
      </c>
      <c r="K40" s="46">
        <f t="shared" si="26"/>
        <v>100</v>
      </c>
      <c r="L40" s="46">
        <f t="shared" si="26"/>
        <v>100</v>
      </c>
      <c r="M40" s="46">
        <f t="shared" si="26"/>
        <v>100</v>
      </c>
      <c r="N40" s="46">
        <f t="shared" si="26"/>
        <v>100</v>
      </c>
      <c r="O40" s="43">
        <f t="shared" si="16"/>
        <v>1200</v>
      </c>
      <c r="P40" s="12">
        <f t="shared" si="18"/>
        <v>0</v>
      </c>
    </row>
    <row r="41" spans="1:16" x14ac:dyDescent="0.25">
      <c r="A41" s="1"/>
      <c r="B41" s="1" t="s">
        <v>96</v>
      </c>
      <c r="C41" s="46">
        <f t="shared" ref="C41:N41" si="27">$M15/12</f>
        <v>27.083333333333332</v>
      </c>
      <c r="D41" s="46">
        <f t="shared" si="27"/>
        <v>27.083333333333332</v>
      </c>
      <c r="E41" s="46">
        <f t="shared" si="27"/>
        <v>27.083333333333332</v>
      </c>
      <c r="F41" s="46">
        <f t="shared" si="27"/>
        <v>27.083333333333332</v>
      </c>
      <c r="G41" s="46">
        <f t="shared" si="27"/>
        <v>27.083333333333332</v>
      </c>
      <c r="H41" s="46">
        <f t="shared" si="27"/>
        <v>27.083333333333332</v>
      </c>
      <c r="I41" s="46">
        <f t="shared" si="27"/>
        <v>27.083333333333332</v>
      </c>
      <c r="J41" s="46">
        <f t="shared" si="27"/>
        <v>27.083333333333332</v>
      </c>
      <c r="K41" s="46">
        <f t="shared" si="27"/>
        <v>27.083333333333332</v>
      </c>
      <c r="L41" s="46">
        <f t="shared" si="27"/>
        <v>27.083333333333332</v>
      </c>
      <c r="M41" s="46">
        <f t="shared" si="27"/>
        <v>27.083333333333332</v>
      </c>
      <c r="N41" s="46">
        <f t="shared" si="27"/>
        <v>27.083333333333332</v>
      </c>
      <c r="O41" s="43">
        <f t="shared" si="16"/>
        <v>325</v>
      </c>
      <c r="P41" s="12">
        <f t="shared" si="18"/>
        <v>0</v>
      </c>
    </row>
    <row r="42" spans="1:16" x14ac:dyDescent="0.25">
      <c r="A42" s="1"/>
      <c r="B42" s="1" t="s">
        <v>97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f>M16</f>
        <v>5500</v>
      </c>
      <c r="K42" s="46">
        <v>0</v>
      </c>
      <c r="L42" s="46">
        <v>0</v>
      </c>
      <c r="M42" s="46">
        <v>0</v>
      </c>
      <c r="N42" s="46">
        <v>0</v>
      </c>
      <c r="O42" s="43">
        <f t="shared" si="16"/>
        <v>5500</v>
      </c>
      <c r="P42" s="12">
        <f t="shared" si="18"/>
        <v>0</v>
      </c>
    </row>
    <row r="43" spans="1:16" x14ac:dyDescent="0.25">
      <c r="A43" s="1"/>
      <c r="B43" s="1" t="s">
        <v>98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M17</f>
        <v>6000</v>
      </c>
      <c r="O43" s="43">
        <f t="shared" si="16"/>
        <v>6000</v>
      </c>
      <c r="P43" s="12">
        <f t="shared" si="18"/>
        <v>0</v>
      </c>
    </row>
    <row r="44" spans="1:16" x14ac:dyDescent="0.25">
      <c r="A44" s="1"/>
      <c r="B44" s="1" t="s">
        <v>99</v>
      </c>
      <c r="C44" s="46">
        <f t="shared" ref="C44:N44" si="28">$M18/12</f>
        <v>133.33333333333334</v>
      </c>
      <c r="D44" s="46">
        <f t="shared" si="28"/>
        <v>133.33333333333334</v>
      </c>
      <c r="E44" s="46">
        <f t="shared" si="28"/>
        <v>133.33333333333334</v>
      </c>
      <c r="F44" s="46">
        <f t="shared" si="28"/>
        <v>133.33333333333334</v>
      </c>
      <c r="G44" s="46">
        <f t="shared" si="28"/>
        <v>133.33333333333334</v>
      </c>
      <c r="H44" s="46">
        <f t="shared" si="28"/>
        <v>133.33333333333334</v>
      </c>
      <c r="I44" s="46">
        <f t="shared" si="28"/>
        <v>133.33333333333334</v>
      </c>
      <c r="J44" s="46">
        <f t="shared" si="28"/>
        <v>133.33333333333334</v>
      </c>
      <c r="K44" s="46">
        <f t="shared" si="28"/>
        <v>133.33333333333334</v>
      </c>
      <c r="L44" s="46">
        <f t="shared" si="28"/>
        <v>133.33333333333334</v>
      </c>
      <c r="M44" s="46">
        <f t="shared" si="28"/>
        <v>133.33333333333334</v>
      </c>
      <c r="N44" s="46">
        <f t="shared" si="28"/>
        <v>133.33333333333334</v>
      </c>
      <c r="O44" s="43">
        <f t="shared" si="16"/>
        <v>1599.9999999999998</v>
      </c>
      <c r="P44" s="12">
        <f t="shared" si="18"/>
        <v>0</v>
      </c>
    </row>
    <row r="45" spans="1:16" x14ac:dyDescent="0.25">
      <c r="A45" s="1"/>
      <c r="B45" s="1" t="s">
        <v>100</v>
      </c>
      <c r="C45" s="46">
        <f t="shared" ref="C45:N45" si="29">$M19/12</f>
        <v>0</v>
      </c>
      <c r="D45" s="46">
        <f t="shared" si="29"/>
        <v>0</v>
      </c>
      <c r="E45" s="46">
        <f t="shared" si="29"/>
        <v>0</v>
      </c>
      <c r="F45" s="46">
        <f t="shared" si="29"/>
        <v>0</v>
      </c>
      <c r="G45" s="46">
        <f t="shared" si="29"/>
        <v>0</v>
      </c>
      <c r="H45" s="46">
        <f t="shared" si="29"/>
        <v>0</v>
      </c>
      <c r="I45" s="46">
        <f t="shared" si="29"/>
        <v>0</v>
      </c>
      <c r="J45" s="46">
        <f t="shared" si="29"/>
        <v>0</v>
      </c>
      <c r="K45" s="46">
        <f t="shared" si="29"/>
        <v>0</v>
      </c>
      <c r="L45" s="46">
        <f t="shared" si="29"/>
        <v>0</v>
      </c>
      <c r="M45" s="46">
        <f t="shared" si="29"/>
        <v>0</v>
      </c>
      <c r="N45" s="46">
        <f t="shared" si="29"/>
        <v>0</v>
      </c>
      <c r="O45" s="43">
        <f t="shared" si="16"/>
        <v>0</v>
      </c>
      <c r="P45" s="12">
        <f t="shared" si="18"/>
        <v>0</v>
      </c>
    </row>
    <row r="46" spans="1:16" x14ac:dyDescent="0.25">
      <c r="A46" s="1"/>
      <c r="B46" s="1" t="s">
        <v>101</v>
      </c>
      <c r="C46" s="46">
        <f t="shared" ref="C46:N46" si="30">$M20/12</f>
        <v>333.33333333333331</v>
      </c>
      <c r="D46" s="46">
        <f t="shared" si="30"/>
        <v>333.33333333333331</v>
      </c>
      <c r="E46" s="46">
        <f t="shared" si="30"/>
        <v>333.33333333333331</v>
      </c>
      <c r="F46" s="46">
        <f t="shared" si="30"/>
        <v>333.33333333333331</v>
      </c>
      <c r="G46" s="46">
        <f t="shared" si="30"/>
        <v>333.33333333333331</v>
      </c>
      <c r="H46" s="46">
        <f t="shared" si="30"/>
        <v>333.33333333333331</v>
      </c>
      <c r="I46" s="46">
        <f t="shared" si="30"/>
        <v>333.33333333333331</v>
      </c>
      <c r="J46" s="46">
        <f t="shared" si="30"/>
        <v>333.33333333333331</v>
      </c>
      <c r="K46" s="46">
        <f t="shared" si="30"/>
        <v>333.33333333333331</v>
      </c>
      <c r="L46" s="46">
        <f t="shared" si="30"/>
        <v>333.33333333333331</v>
      </c>
      <c r="M46" s="46">
        <f t="shared" si="30"/>
        <v>333.33333333333331</v>
      </c>
      <c r="N46" s="46">
        <f t="shared" si="30"/>
        <v>333.33333333333331</v>
      </c>
      <c r="O46" s="43">
        <f t="shared" si="16"/>
        <v>4000.0000000000005</v>
      </c>
      <c r="P46" s="12">
        <f t="shared" si="18"/>
        <v>0</v>
      </c>
    </row>
    <row r="47" spans="1:16" x14ac:dyDescent="0.25">
      <c r="A47" s="1"/>
      <c r="B47" s="1" t="s">
        <v>102</v>
      </c>
      <c r="C47" s="46">
        <f t="shared" ref="C47:N47" si="31">$M21/12</f>
        <v>0</v>
      </c>
      <c r="D47" s="46">
        <f t="shared" si="31"/>
        <v>0</v>
      </c>
      <c r="E47" s="46">
        <f t="shared" si="31"/>
        <v>0</v>
      </c>
      <c r="F47" s="46">
        <f t="shared" si="31"/>
        <v>0</v>
      </c>
      <c r="G47" s="46">
        <f t="shared" si="31"/>
        <v>0</v>
      </c>
      <c r="H47" s="46">
        <f t="shared" si="31"/>
        <v>0</v>
      </c>
      <c r="I47" s="46">
        <f t="shared" si="31"/>
        <v>0</v>
      </c>
      <c r="J47" s="46">
        <f t="shared" si="31"/>
        <v>0</v>
      </c>
      <c r="K47" s="46">
        <f t="shared" si="31"/>
        <v>0</v>
      </c>
      <c r="L47" s="46">
        <f t="shared" si="31"/>
        <v>0</v>
      </c>
      <c r="M47" s="46">
        <f t="shared" si="31"/>
        <v>0</v>
      </c>
      <c r="N47" s="46">
        <f t="shared" si="31"/>
        <v>0</v>
      </c>
      <c r="O47" s="43">
        <f t="shared" si="16"/>
        <v>0</v>
      </c>
      <c r="P47" s="12">
        <f t="shared" si="18"/>
        <v>0</v>
      </c>
    </row>
    <row r="48" spans="1:16" x14ac:dyDescent="0.25">
      <c r="A48" s="1"/>
      <c r="B48" s="1" t="s">
        <v>103</v>
      </c>
      <c r="C48" s="46">
        <f>$M22/4</f>
        <v>552.5</v>
      </c>
      <c r="D48" s="46">
        <f>$M22/4</f>
        <v>552.5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f t="shared" ref="M48:N48" si="32">$M22/4</f>
        <v>552.5</v>
      </c>
      <c r="N48" s="46">
        <f t="shared" si="32"/>
        <v>552.5</v>
      </c>
      <c r="O48" s="43">
        <f t="shared" si="16"/>
        <v>2210</v>
      </c>
      <c r="P48" s="12">
        <f t="shared" si="18"/>
        <v>0</v>
      </c>
    </row>
    <row r="49" spans="1:16" x14ac:dyDescent="0.25">
      <c r="A49" s="1"/>
      <c r="B49" s="1" t="s">
        <v>104</v>
      </c>
      <c r="C49" s="46">
        <f t="shared" ref="C49:N49" si="33">$M23/12</f>
        <v>0</v>
      </c>
      <c r="D49" s="46">
        <f t="shared" si="33"/>
        <v>0</v>
      </c>
      <c r="E49" s="46">
        <f t="shared" si="33"/>
        <v>0</v>
      </c>
      <c r="F49" s="46">
        <f t="shared" si="33"/>
        <v>0</v>
      </c>
      <c r="G49" s="46">
        <f t="shared" si="33"/>
        <v>0</v>
      </c>
      <c r="H49" s="46">
        <f t="shared" si="33"/>
        <v>0</v>
      </c>
      <c r="I49" s="46">
        <f t="shared" si="33"/>
        <v>0</v>
      </c>
      <c r="J49" s="46">
        <f t="shared" si="33"/>
        <v>0</v>
      </c>
      <c r="K49" s="46">
        <f t="shared" si="33"/>
        <v>0</v>
      </c>
      <c r="L49" s="46">
        <f t="shared" si="33"/>
        <v>0</v>
      </c>
      <c r="M49" s="46">
        <f t="shared" si="33"/>
        <v>0</v>
      </c>
      <c r="N49" s="46">
        <f t="shared" si="33"/>
        <v>0</v>
      </c>
      <c r="O49" s="43">
        <f t="shared" si="16"/>
        <v>0</v>
      </c>
      <c r="P49" s="12">
        <f t="shared" si="18"/>
        <v>0</v>
      </c>
    </row>
    <row r="50" spans="1:16" ht="15.75" thickBot="1" x14ac:dyDescent="0.3">
      <c r="A50" s="1"/>
      <c r="B50" s="1" t="s">
        <v>105</v>
      </c>
      <c r="C50" s="46">
        <f t="shared" ref="C50:N50" si="34">$M24/12</f>
        <v>0</v>
      </c>
      <c r="D50" s="46">
        <f t="shared" si="34"/>
        <v>0</v>
      </c>
      <c r="E50" s="46">
        <f t="shared" si="34"/>
        <v>0</v>
      </c>
      <c r="F50" s="46">
        <f t="shared" si="34"/>
        <v>0</v>
      </c>
      <c r="G50" s="46">
        <f t="shared" si="34"/>
        <v>0</v>
      </c>
      <c r="H50" s="46">
        <f t="shared" si="34"/>
        <v>0</v>
      </c>
      <c r="I50" s="46">
        <f t="shared" si="34"/>
        <v>0</v>
      </c>
      <c r="J50" s="46">
        <f t="shared" si="34"/>
        <v>0</v>
      </c>
      <c r="K50" s="46">
        <f t="shared" si="34"/>
        <v>0</v>
      </c>
      <c r="L50" s="46">
        <f t="shared" si="34"/>
        <v>0</v>
      </c>
      <c r="M50" s="46">
        <f t="shared" si="34"/>
        <v>0</v>
      </c>
      <c r="N50" s="46">
        <f t="shared" si="34"/>
        <v>0</v>
      </c>
      <c r="O50" s="43">
        <f t="shared" si="16"/>
        <v>0</v>
      </c>
      <c r="P50" s="12">
        <f t="shared" si="18"/>
        <v>0</v>
      </c>
    </row>
    <row r="51" spans="1:16" ht="15.75" thickBot="1" x14ac:dyDescent="0.3">
      <c r="A51" s="1" t="s">
        <v>106</v>
      </c>
      <c r="B51" s="1"/>
      <c r="C51" s="7">
        <f>ROUND(SUM(C40:C50),5)</f>
        <v>1146.25</v>
      </c>
      <c r="D51" s="7">
        <f t="shared" ref="D51:P51" si="35">ROUND(SUM(D40:D50),5)</f>
        <v>1146.25</v>
      </c>
      <c r="E51" s="7">
        <f t="shared" si="35"/>
        <v>593.75</v>
      </c>
      <c r="F51" s="7">
        <f t="shared" si="35"/>
        <v>593.75</v>
      </c>
      <c r="G51" s="7">
        <f t="shared" si="35"/>
        <v>593.75</v>
      </c>
      <c r="H51" s="7">
        <f t="shared" si="35"/>
        <v>593.75</v>
      </c>
      <c r="I51" s="7">
        <f t="shared" si="35"/>
        <v>593.75</v>
      </c>
      <c r="J51" s="7">
        <f t="shared" si="35"/>
        <v>6093.75</v>
      </c>
      <c r="K51" s="7">
        <f t="shared" si="35"/>
        <v>593.75</v>
      </c>
      <c r="L51" s="7">
        <f t="shared" si="35"/>
        <v>593.75</v>
      </c>
      <c r="M51" s="7">
        <f t="shared" si="35"/>
        <v>1146.25</v>
      </c>
      <c r="N51" s="7">
        <f t="shared" si="35"/>
        <v>7146.25</v>
      </c>
      <c r="O51" s="7">
        <f t="shared" si="35"/>
        <v>20835</v>
      </c>
      <c r="P51" s="7">
        <f t="shared" si="35"/>
        <v>0</v>
      </c>
    </row>
    <row r="52" spans="1:16" ht="15.75" thickTop="1" x14ac:dyDescent="0.2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x14ac:dyDescent="0.2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x14ac:dyDescent="0.2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</sheetData>
  <mergeCells count="1">
    <mergeCell ref="M1:Q1"/>
  </mergeCells>
  <pageMargins left="0.7" right="0.7" top="0.75" bottom="0.75" header="0.3" footer="0.3"/>
  <pageSetup scale="46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A1:S50"/>
  <sheetViews>
    <sheetView workbookViewId="0">
      <pane xSplit="2" ySplit="2" topLeftCell="E3" activePane="bottomRight" state="frozen"/>
      <selection activeCell="G29" sqref="G29"/>
      <selection pane="topRight" activeCell="G29" sqref="G29"/>
      <selection pane="bottomLeft" activeCell="G29" sqref="G29"/>
      <selection pane="bottomRight" activeCell="G29" sqref="G29"/>
    </sheetView>
  </sheetViews>
  <sheetFormatPr defaultRowHeight="15" x14ac:dyDescent="0.25"/>
  <cols>
    <col min="2" max="2" width="32.42578125" bestFit="1" customWidth="1"/>
    <col min="3" max="3" width="9.85546875" bestFit="1" customWidth="1"/>
    <col min="15" max="15" width="10.140625" customWidth="1"/>
    <col min="16" max="16" width="10.7109375" customWidth="1"/>
  </cols>
  <sheetData>
    <row r="1" spans="1:19" x14ac:dyDescent="0.25">
      <c r="A1" s="51">
        <f>'Master Input Tab'!B3</f>
        <v>1.4999999999999999E-2</v>
      </c>
      <c r="K1" t="s">
        <v>170</v>
      </c>
      <c r="M1" s="90" t="s">
        <v>132</v>
      </c>
      <c r="N1" s="91"/>
      <c r="O1" s="91"/>
      <c r="P1" s="91"/>
      <c r="Q1" s="92"/>
      <c r="R1" s="8" t="s">
        <v>134</v>
      </c>
    </row>
    <row r="2" spans="1:19" ht="15.75" thickBot="1" x14ac:dyDescent="0.3">
      <c r="A2" s="52">
        <f>'Master Input Tab'!B4</f>
        <v>0.03</v>
      </c>
      <c r="C2" s="5">
        <v>2005</v>
      </c>
      <c r="D2" s="6">
        <v>2006</v>
      </c>
      <c r="E2" s="6">
        <v>2007</v>
      </c>
      <c r="F2" s="6">
        <v>2008</v>
      </c>
      <c r="G2" s="6">
        <v>2009</v>
      </c>
      <c r="H2" s="6">
        <v>2010</v>
      </c>
      <c r="I2" s="6">
        <v>2011</v>
      </c>
      <c r="J2" s="6">
        <v>2012</v>
      </c>
      <c r="K2" s="6">
        <v>2013</v>
      </c>
      <c r="L2" s="6" t="s">
        <v>171</v>
      </c>
      <c r="M2" s="81" t="str">
        <f>'Total Summary'!$H$4</f>
        <v>2014</v>
      </c>
      <c r="N2" s="81">
        <f>'Total Summary'!$I$4</f>
        <v>2015</v>
      </c>
      <c r="O2" s="81">
        <f>'Total Summary'!$J$4</f>
        <v>2016</v>
      </c>
      <c r="P2" s="81">
        <f>'Total Summary'!$K$4</f>
        <v>2017</v>
      </c>
      <c r="Q2" s="81">
        <f>'Total Summary'!$L$4</f>
        <v>2018</v>
      </c>
    </row>
    <row r="3" spans="1:19" x14ac:dyDescent="0.25">
      <c r="A3" s="1" t="s">
        <v>107</v>
      </c>
      <c r="B3" s="1"/>
      <c r="C3" s="2"/>
      <c r="D3" s="2"/>
      <c r="E3" s="2"/>
      <c r="F3" s="2"/>
      <c r="G3" s="2"/>
      <c r="H3" s="2"/>
      <c r="I3" s="2"/>
      <c r="J3" s="2"/>
      <c r="L3" s="55" t="s">
        <v>210</v>
      </c>
      <c r="M3" s="57">
        <v>0</v>
      </c>
      <c r="N3" s="57">
        <v>2</v>
      </c>
      <c r="O3" s="57">
        <v>4</v>
      </c>
      <c r="P3" s="57">
        <v>6</v>
      </c>
      <c r="Q3" s="57">
        <v>8</v>
      </c>
      <c r="R3" s="56"/>
      <c r="S3" s="56"/>
    </row>
    <row r="4" spans="1:19" x14ac:dyDescent="0.25">
      <c r="A4" s="1"/>
      <c r="B4" s="1" t="s">
        <v>108</v>
      </c>
      <c r="C4" s="2">
        <v>7367.47</v>
      </c>
      <c r="D4" s="2">
        <v>5949</v>
      </c>
      <c r="E4" s="2">
        <v>7332.73</v>
      </c>
      <c r="F4" s="2">
        <v>6806.87</v>
      </c>
      <c r="G4" s="2">
        <v>6492.11</v>
      </c>
      <c r="H4" s="2">
        <v>6358.09</v>
      </c>
      <c r="I4" s="2">
        <v>7273.76</v>
      </c>
      <c r="J4" s="2">
        <v>6642.02</v>
      </c>
      <c r="K4" s="2">
        <f>VLOOKUP(B4,Summary!F:H,3,FALSE)/8*12</f>
        <v>6577.875</v>
      </c>
      <c r="L4" s="2">
        <f t="shared" ref="L4" si="0">SUM(C4:K4)/10</f>
        <v>6079.9925000000003</v>
      </c>
      <c r="M4" s="49">
        <f>'Master Input Tab'!$B$31*'Master Input Tab'!$C$31*'Master Input Tab'!$B$5</f>
        <v>7455.5</v>
      </c>
      <c r="N4" s="49">
        <f>('Master Input Tab'!$B$31*(1+$A$2))*('Master Input Tab'!$C$31+N3)*'Master Input Tab'!$B$5</f>
        <v>9339.5249999999996</v>
      </c>
      <c r="O4" s="49">
        <f>('Master Input Tab'!$B$31*(1+$A$2))*('Master Input Tab'!$C$31+O3)*'Master Input Tab'!$B$5</f>
        <v>10999.885</v>
      </c>
      <c r="P4" s="49">
        <f>('Master Input Tab'!$B$31*(1+$A$2))*('Master Input Tab'!$C$31+P3)*'Master Input Tab'!$B$5</f>
        <v>12660.245000000001</v>
      </c>
      <c r="Q4" s="49">
        <f>('Master Input Tab'!$B$31*(1+$A$2))*('Master Input Tab'!$C$31+Q3)*'Master Input Tab'!$B$5</f>
        <v>14320.605</v>
      </c>
      <c r="R4" s="56"/>
      <c r="S4" s="56"/>
    </row>
    <row r="5" spans="1:19" ht="15.75" thickBot="1" x14ac:dyDescent="0.3">
      <c r="A5" s="1"/>
      <c r="B5" s="1" t="s">
        <v>109</v>
      </c>
      <c r="C5" s="3">
        <v>0</v>
      </c>
      <c r="D5" s="3">
        <v>0</v>
      </c>
      <c r="E5" s="3">
        <v>116.55</v>
      </c>
      <c r="F5" s="3">
        <v>38</v>
      </c>
      <c r="G5" s="3">
        <v>0</v>
      </c>
      <c r="H5" s="3">
        <v>40</v>
      </c>
      <c r="I5" s="3">
        <v>40</v>
      </c>
      <c r="J5" s="3">
        <v>40</v>
      </c>
      <c r="K5" s="2">
        <v>0</v>
      </c>
      <c r="L5" s="2">
        <v>0</v>
      </c>
      <c r="M5" s="44">
        <v>0</v>
      </c>
      <c r="N5" s="49">
        <f>M5</f>
        <v>0</v>
      </c>
      <c r="O5" s="49">
        <f t="shared" ref="O5:Q5" si="1">N5</f>
        <v>0</v>
      </c>
      <c r="P5" s="49">
        <f t="shared" si="1"/>
        <v>0</v>
      </c>
      <c r="Q5" s="49">
        <f t="shared" si="1"/>
        <v>0</v>
      </c>
    </row>
    <row r="6" spans="1:19" ht="15.75" thickBot="1" x14ac:dyDescent="0.3">
      <c r="A6" s="1" t="s">
        <v>110</v>
      </c>
      <c r="B6" s="1"/>
      <c r="C6" s="7">
        <f t="shared" ref="C6:J6" si="2">SUM(C4:C5)</f>
        <v>7367.47</v>
      </c>
      <c r="D6" s="7">
        <f t="shared" si="2"/>
        <v>5949</v>
      </c>
      <c r="E6" s="7">
        <f t="shared" si="2"/>
        <v>7449.28</v>
      </c>
      <c r="F6" s="7">
        <f t="shared" si="2"/>
        <v>6844.87</v>
      </c>
      <c r="G6" s="7">
        <f t="shared" si="2"/>
        <v>6492.11</v>
      </c>
      <c r="H6" s="7">
        <f t="shared" si="2"/>
        <v>6398.09</v>
      </c>
      <c r="I6" s="7">
        <f t="shared" si="2"/>
        <v>7313.76</v>
      </c>
      <c r="J6" s="7">
        <f t="shared" si="2"/>
        <v>6682.02</v>
      </c>
      <c r="K6" s="7">
        <f t="shared" ref="K6:Q6" si="3">SUM(K4:K5)</f>
        <v>6577.875</v>
      </c>
      <c r="L6" s="7">
        <f t="shared" si="3"/>
        <v>6079.9925000000003</v>
      </c>
      <c r="M6" s="7">
        <f t="shared" si="3"/>
        <v>7455.5</v>
      </c>
      <c r="N6" s="7">
        <f t="shared" si="3"/>
        <v>9339.5249999999996</v>
      </c>
      <c r="O6" s="7">
        <f t="shared" si="3"/>
        <v>10999.885</v>
      </c>
      <c r="P6" s="7">
        <f t="shared" si="3"/>
        <v>12660.245000000001</v>
      </c>
      <c r="Q6" s="7">
        <f t="shared" si="3"/>
        <v>14320.605</v>
      </c>
    </row>
    <row r="7" spans="1:19" ht="15.75" thickTop="1" x14ac:dyDescent="0.25"/>
    <row r="8" spans="1:19" x14ac:dyDescent="0.25">
      <c r="A8" s="8" t="s">
        <v>133</v>
      </c>
      <c r="B8" s="8"/>
    </row>
    <row r="9" spans="1:19" x14ac:dyDescent="0.25">
      <c r="A9" s="10"/>
      <c r="C9" t="s">
        <v>120</v>
      </c>
      <c r="D9" t="s">
        <v>121</v>
      </c>
      <c r="E9" t="s">
        <v>122</v>
      </c>
      <c r="F9" t="s">
        <v>129</v>
      </c>
      <c r="G9" t="s">
        <v>130</v>
      </c>
      <c r="H9" t="s">
        <v>31</v>
      </c>
      <c r="I9" t="s">
        <v>24</v>
      </c>
      <c r="J9" t="s">
        <v>26</v>
      </c>
      <c r="K9" t="s">
        <v>27</v>
      </c>
      <c r="L9" t="s">
        <v>25</v>
      </c>
      <c r="M9" t="s">
        <v>28</v>
      </c>
      <c r="N9" t="s">
        <v>29</v>
      </c>
      <c r="O9" t="s">
        <v>30</v>
      </c>
      <c r="P9" t="s">
        <v>131</v>
      </c>
    </row>
    <row r="10" spans="1:19" x14ac:dyDescent="0.25">
      <c r="A10" s="1" t="s">
        <v>107</v>
      </c>
      <c r="B10" s="1"/>
    </row>
    <row r="11" spans="1:19" x14ac:dyDescent="0.25">
      <c r="A11" s="1"/>
      <c r="B11" s="1" t="s">
        <v>108</v>
      </c>
      <c r="C11" s="46">
        <f>$M$4/12</f>
        <v>621.29166666666663</v>
      </c>
      <c r="D11" s="46">
        <f t="shared" ref="D11:N11" si="4">$M$4/12</f>
        <v>621.29166666666663</v>
      </c>
      <c r="E11" s="46">
        <f t="shared" si="4"/>
        <v>621.29166666666663</v>
      </c>
      <c r="F11" s="46">
        <f t="shared" si="4"/>
        <v>621.29166666666663</v>
      </c>
      <c r="G11" s="46">
        <f t="shared" si="4"/>
        <v>621.29166666666663</v>
      </c>
      <c r="H11" s="46">
        <f t="shared" si="4"/>
        <v>621.29166666666663</v>
      </c>
      <c r="I11" s="46">
        <f t="shared" si="4"/>
        <v>621.29166666666663</v>
      </c>
      <c r="J11" s="46">
        <f t="shared" si="4"/>
        <v>621.29166666666663</v>
      </c>
      <c r="K11" s="46">
        <f t="shared" si="4"/>
        <v>621.29166666666663</v>
      </c>
      <c r="L11" s="46">
        <f t="shared" si="4"/>
        <v>621.29166666666663</v>
      </c>
      <c r="M11" s="46">
        <f t="shared" si="4"/>
        <v>621.29166666666663</v>
      </c>
      <c r="N11" s="46">
        <f t="shared" si="4"/>
        <v>621.29166666666663</v>
      </c>
      <c r="O11" s="43">
        <f>SUM(C11:N11)</f>
        <v>7455.5000000000009</v>
      </c>
      <c r="P11" s="12">
        <f>+O11-M4</f>
        <v>0</v>
      </c>
    </row>
    <row r="12" spans="1:19" ht="15.75" thickBot="1" x14ac:dyDescent="0.3">
      <c r="A12" s="1"/>
      <c r="B12" s="1" t="s">
        <v>109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3">
        <f>SUM(C12:N12)</f>
        <v>0</v>
      </c>
      <c r="P12" s="12">
        <f>+O12-M5</f>
        <v>0</v>
      </c>
    </row>
    <row r="13" spans="1:19" ht="15.75" thickBot="1" x14ac:dyDescent="0.3">
      <c r="A13" s="1" t="s">
        <v>110</v>
      </c>
      <c r="B13" s="1"/>
      <c r="C13" s="7">
        <f t="shared" ref="C13:P13" si="5">ROUND(SUM(C10:C12),5)</f>
        <v>621.29166999999995</v>
      </c>
      <c r="D13" s="7">
        <f t="shared" si="5"/>
        <v>621.29166999999995</v>
      </c>
      <c r="E13" s="7">
        <f t="shared" si="5"/>
        <v>621.29166999999995</v>
      </c>
      <c r="F13" s="7">
        <f t="shared" si="5"/>
        <v>621.29166999999995</v>
      </c>
      <c r="G13" s="7">
        <f t="shared" si="5"/>
        <v>621.29166999999995</v>
      </c>
      <c r="H13" s="7">
        <f t="shared" si="5"/>
        <v>621.29166999999995</v>
      </c>
      <c r="I13" s="7">
        <f t="shared" si="5"/>
        <v>621.29166999999995</v>
      </c>
      <c r="J13" s="7">
        <f t="shared" si="5"/>
        <v>621.29166999999995</v>
      </c>
      <c r="K13" s="7">
        <f t="shared" si="5"/>
        <v>621.29166999999995</v>
      </c>
      <c r="L13" s="7">
        <f t="shared" si="5"/>
        <v>621.29166999999995</v>
      </c>
      <c r="M13" s="7">
        <f t="shared" si="5"/>
        <v>621.29166999999995</v>
      </c>
      <c r="N13" s="7">
        <f t="shared" si="5"/>
        <v>621.29166999999995</v>
      </c>
      <c r="O13" s="7">
        <f t="shared" si="5"/>
        <v>7455.5</v>
      </c>
      <c r="P13" s="7">
        <f t="shared" si="5"/>
        <v>0</v>
      </c>
    </row>
    <row r="14" spans="1:19" ht="15.75" thickTop="1" x14ac:dyDescent="0.25"/>
    <row r="25" spans="3:16" x14ac:dyDescent="0.25">
      <c r="E25" t="s">
        <v>172</v>
      </c>
    </row>
    <row r="29" spans="3:16" x14ac:dyDescent="0.25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3:16" x14ac:dyDescent="0.2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3:16" x14ac:dyDescent="0.2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3:16" x14ac:dyDescent="0.2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3:16" x14ac:dyDescent="0.2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3:16" x14ac:dyDescent="0.2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3:16" x14ac:dyDescent="0.2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3:16" x14ac:dyDescent="0.2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3:16" x14ac:dyDescent="0.2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3:16" x14ac:dyDescent="0.2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3:16" x14ac:dyDescent="0.2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3:16" x14ac:dyDescent="0.2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3:16" x14ac:dyDescent="0.2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3:16" x14ac:dyDescent="0.2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3:16" x14ac:dyDescent="0.2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3:16" x14ac:dyDescent="0.2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3:16" x14ac:dyDescent="0.2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3:16" x14ac:dyDescent="0.2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3:16" x14ac:dyDescent="0.2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3:16" x14ac:dyDescent="0.2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3:16" x14ac:dyDescent="0.2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3:16" x14ac:dyDescent="0.2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</sheetData>
  <mergeCells count="1">
    <mergeCell ref="M1:Q1"/>
  </mergeCells>
  <pageMargins left="0.7" right="0.7" top="0.75" bottom="0.75" header="0.3" footer="0.3"/>
  <pageSetup scale="4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  <pageSetUpPr fitToPage="1"/>
  </sheetPr>
  <dimension ref="A1:R56"/>
  <sheetViews>
    <sheetView workbookViewId="0">
      <pane xSplit="2" ySplit="2" topLeftCell="D3" activePane="bottomRight" state="frozen"/>
      <selection activeCell="G29" sqref="G29"/>
      <selection pane="topRight" activeCell="G29" sqref="G29"/>
      <selection pane="bottomLeft" activeCell="G29" sqref="G29"/>
      <selection pane="bottomRight" activeCell="G29" sqref="G29"/>
    </sheetView>
  </sheetViews>
  <sheetFormatPr defaultRowHeight="15" x14ac:dyDescent="0.25"/>
  <cols>
    <col min="2" max="2" width="32.42578125" bestFit="1" customWidth="1"/>
    <col min="3" max="3" width="10" bestFit="1" customWidth="1"/>
    <col min="4" max="6" width="9.28515625" bestFit="1" customWidth="1"/>
    <col min="7" max="8" width="11.5703125" bestFit="1" customWidth="1"/>
    <col min="9" max="9" width="9.7109375" bestFit="1" customWidth="1"/>
    <col min="10" max="10" width="9.28515625" bestFit="1" customWidth="1"/>
    <col min="11" max="11" width="9.7109375" bestFit="1" customWidth="1"/>
    <col min="12" max="12" width="10" bestFit="1" customWidth="1"/>
    <col min="13" max="13" width="10.42578125" bestFit="1" customWidth="1"/>
    <col min="14" max="14" width="9.28515625" bestFit="1" customWidth="1"/>
    <col min="15" max="15" width="11.5703125" bestFit="1" customWidth="1"/>
    <col min="16" max="16" width="11.28515625" bestFit="1" customWidth="1"/>
  </cols>
  <sheetData>
    <row r="1" spans="1:18" x14ac:dyDescent="0.25">
      <c r="A1" s="51">
        <f>'Master Input Tab'!B3</f>
        <v>1.4999999999999999E-2</v>
      </c>
      <c r="K1" t="s">
        <v>170</v>
      </c>
      <c r="M1" s="90" t="s">
        <v>132</v>
      </c>
      <c r="N1" s="91"/>
      <c r="O1" s="91"/>
      <c r="P1" s="91"/>
      <c r="Q1" s="92"/>
      <c r="R1" s="8" t="s">
        <v>134</v>
      </c>
    </row>
    <row r="2" spans="1:18" ht="15.75" thickBot="1" x14ac:dyDescent="0.3">
      <c r="A2" s="52">
        <f>'Master Input Tab'!B4</f>
        <v>0.03</v>
      </c>
      <c r="C2" s="5">
        <v>2005</v>
      </c>
      <c r="D2" s="6">
        <v>2006</v>
      </c>
      <c r="E2" s="6">
        <v>2007</v>
      </c>
      <c r="F2" s="6">
        <v>2008</v>
      </c>
      <c r="G2" s="6">
        <v>2009</v>
      </c>
      <c r="H2" s="6">
        <v>2010</v>
      </c>
      <c r="I2" s="6">
        <v>2011</v>
      </c>
      <c r="J2" s="6">
        <v>2012</v>
      </c>
      <c r="K2" s="6">
        <v>2013</v>
      </c>
      <c r="L2" s="6" t="s">
        <v>171</v>
      </c>
      <c r="M2" s="81" t="str">
        <f>'Total Summary'!$H$4</f>
        <v>2014</v>
      </c>
      <c r="N2" s="81">
        <f>'Total Summary'!$I$4</f>
        <v>2015</v>
      </c>
      <c r="O2" s="81">
        <f>'Total Summary'!$J$4</f>
        <v>2016</v>
      </c>
      <c r="P2" s="81">
        <f>'Total Summary'!$K$4</f>
        <v>2017</v>
      </c>
      <c r="Q2" s="81">
        <f>'Total Summary'!$L$4</f>
        <v>2018</v>
      </c>
    </row>
    <row r="3" spans="1:18" x14ac:dyDescent="0.25">
      <c r="A3" s="1" t="s">
        <v>111</v>
      </c>
      <c r="B3" s="1"/>
      <c r="C3" s="2"/>
      <c r="D3" s="2"/>
      <c r="E3" s="2"/>
      <c r="F3" s="2"/>
      <c r="G3" s="2"/>
      <c r="H3" s="2"/>
      <c r="I3" s="2"/>
      <c r="J3" s="2"/>
    </row>
    <row r="4" spans="1:18" x14ac:dyDescent="0.25">
      <c r="A4" s="1"/>
      <c r="B4" s="1" t="s">
        <v>112</v>
      </c>
      <c r="C4" s="2">
        <v>3127.5</v>
      </c>
      <c r="D4" s="2">
        <v>1703.5</v>
      </c>
      <c r="E4" s="2">
        <v>1446.88</v>
      </c>
      <c r="F4" s="2">
        <v>177</v>
      </c>
      <c r="G4" s="2">
        <v>0</v>
      </c>
      <c r="H4" s="2">
        <v>0</v>
      </c>
      <c r="I4" s="2">
        <v>0</v>
      </c>
      <c r="J4" s="2">
        <v>3997.38</v>
      </c>
      <c r="K4" s="2">
        <f>VLOOKUP(B4,Summary!F:H,3,FALSE)/8*12</f>
        <v>546.31499999999994</v>
      </c>
      <c r="L4" s="2">
        <f t="shared" ref="L4" si="0">SUM(C4:K4)/10</f>
        <v>1099.8575000000001</v>
      </c>
      <c r="M4" s="41">
        <v>1300</v>
      </c>
      <c r="N4" s="41">
        <v>1650</v>
      </c>
      <c r="O4" s="41">
        <v>1750</v>
      </c>
      <c r="P4" s="41">
        <v>2310</v>
      </c>
      <c r="Q4" s="41">
        <v>1860</v>
      </c>
    </row>
    <row r="5" spans="1:18" x14ac:dyDescent="0.25">
      <c r="A5" s="1"/>
      <c r="B5" s="1" t="s">
        <v>113</v>
      </c>
      <c r="C5" s="2">
        <v>2132.66</v>
      </c>
      <c r="D5" s="2">
        <v>4540.6000000000004</v>
      </c>
      <c r="E5" s="2">
        <v>1222.94</v>
      </c>
      <c r="F5" s="2">
        <v>82651.22</v>
      </c>
      <c r="G5" s="2">
        <v>15842.75</v>
      </c>
      <c r="H5" s="2">
        <v>1966</v>
      </c>
      <c r="I5" s="2">
        <v>983.4</v>
      </c>
      <c r="J5" s="2">
        <v>0</v>
      </c>
      <c r="K5" s="2">
        <v>0</v>
      </c>
      <c r="L5" s="2">
        <v>0</v>
      </c>
      <c r="M5" s="41">
        <v>11800</v>
      </c>
      <c r="N5" s="41">
        <v>76300</v>
      </c>
      <c r="O5" s="41">
        <v>3200</v>
      </c>
      <c r="P5" s="41">
        <v>1500</v>
      </c>
      <c r="Q5" s="41">
        <v>2300</v>
      </c>
    </row>
    <row r="6" spans="1:18" x14ac:dyDescent="0.25">
      <c r="A6" s="1"/>
      <c r="B6" s="1" t="s">
        <v>114</v>
      </c>
      <c r="C6" s="2">
        <v>744.38</v>
      </c>
      <c r="D6" s="2">
        <v>65.72</v>
      </c>
      <c r="E6" s="2">
        <v>776</v>
      </c>
      <c r="F6" s="2">
        <v>800</v>
      </c>
      <c r="G6" s="2">
        <v>870.31</v>
      </c>
      <c r="H6" s="2">
        <v>1350.56</v>
      </c>
      <c r="I6" s="2">
        <v>1409.06</v>
      </c>
      <c r="J6" s="2">
        <v>1397.69</v>
      </c>
      <c r="K6" s="2">
        <v>0</v>
      </c>
      <c r="L6" s="2">
        <f t="shared" ref="L6:L10" si="1">SUM(C6:K6)/10</f>
        <v>741.37199999999996</v>
      </c>
      <c r="M6" s="41">
        <v>2150</v>
      </c>
      <c r="N6" s="41">
        <v>1600</v>
      </c>
      <c r="O6" s="41">
        <v>1700</v>
      </c>
      <c r="P6" s="41">
        <v>1800</v>
      </c>
      <c r="Q6" s="41">
        <v>1900</v>
      </c>
    </row>
    <row r="7" spans="1:18" x14ac:dyDescent="0.25">
      <c r="A7" s="1"/>
      <c r="B7" s="1" t="s">
        <v>115</v>
      </c>
      <c r="C7" s="2">
        <v>566.91</v>
      </c>
      <c r="D7" s="2">
        <v>25833.25</v>
      </c>
      <c r="E7" s="2">
        <v>52899.91</v>
      </c>
      <c r="F7" s="2">
        <v>0</v>
      </c>
      <c r="G7" s="2">
        <v>15</v>
      </c>
      <c r="H7" s="2">
        <v>5240</v>
      </c>
      <c r="I7" s="2">
        <v>7377</v>
      </c>
      <c r="J7" s="2">
        <v>0</v>
      </c>
      <c r="K7" s="2">
        <v>0</v>
      </c>
      <c r="L7" s="2">
        <f t="shared" si="1"/>
        <v>9193.2070000000003</v>
      </c>
      <c r="M7" s="41">
        <v>12000</v>
      </c>
      <c r="N7" s="41">
        <v>15000</v>
      </c>
      <c r="O7" s="41">
        <v>10000</v>
      </c>
      <c r="P7" s="41">
        <v>86500</v>
      </c>
      <c r="Q7" s="41">
        <v>23025</v>
      </c>
    </row>
    <row r="8" spans="1:18" x14ac:dyDescent="0.25">
      <c r="A8" s="1"/>
      <c r="B8" s="1" t="s">
        <v>116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22</v>
      </c>
      <c r="I8" s="2">
        <v>0</v>
      </c>
      <c r="J8" s="2">
        <v>0</v>
      </c>
      <c r="K8" s="2">
        <v>0</v>
      </c>
      <c r="L8" s="2">
        <f t="shared" si="1"/>
        <v>2.2000000000000002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</row>
    <row r="9" spans="1:18" x14ac:dyDescent="0.25">
      <c r="A9" s="1"/>
      <c r="B9" s="1" t="s">
        <v>117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250</v>
      </c>
      <c r="J9" s="2">
        <v>0</v>
      </c>
      <c r="K9" s="2">
        <v>0</v>
      </c>
      <c r="L9" s="2">
        <f t="shared" si="1"/>
        <v>25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</row>
    <row r="10" spans="1:18" ht="15.75" thickBot="1" x14ac:dyDescent="0.3">
      <c r="A10" s="1"/>
      <c r="B10" s="1" t="s">
        <v>118</v>
      </c>
      <c r="C10" s="3">
        <v>0</v>
      </c>
      <c r="D10" s="3">
        <v>132.97999999999999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1"/>
        <v>13.297999999999998</v>
      </c>
      <c r="M10" s="40">
        <f>400+900</f>
        <v>1300</v>
      </c>
      <c r="N10" s="40">
        <v>0</v>
      </c>
      <c r="O10" s="40">
        <v>150</v>
      </c>
      <c r="P10" s="40">
        <v>0</v>
      </c>
      <c r="Q10" s="40">
        <v>0</v>
      </c>
    </row>
    <row r="11" spans="1:18" x14ac:dyDescent="0.25">
      <c r="A11" s="1" t="s">
        <v>119</v>
      </c>
      <c r="B11" s="1"/>
      <c r="C11" s="2">
        <f t="shared" ref="C11:J11" si="2">ROUND(SUM(C3:C10),5)</f>
        <v>6571.45</v>
      </c>
      <c r="D11" s="2">
        <f t="shared" si="2"/>
        <v>32276.05</v>
      </c>
      <c r="E11" s="2">
        <f t="shared" si="2"/>
        <v>56345.73</v>
      </c>
      <c r="F11" s="2">
        <f t="shared" si="2"/>
        <v>83628.22</v>
      </c>
      <c r="G11" s="2">
        <f t="shared" si="2"/>
        <v>16728.060000000001</v>
      </c>
      <c r="H11" s="2">
        <f t="shared" si="2"/>
        <v>8578.56</v>
      </c>
      <c r="I11" s="2">
        <f t="shared" si="2"/>
        <v>10019.459999999999</v>
      </c>
      <c r="J11" s="2">
        <f t="shared" si="2"/>
        <v>5395.07</v>
      </c>
      <c r="K11" s="2">
        <f t="shared" ref="K11:L11" si="3">ROUND(SUM(K3:K10),5)</f>
        <v>546.31500000000005</v>
      </c>
      <c r="L11" s="2">
        <f t="shared" si="3"/>
        <v>11074.934499999999</v>
      </c>
      <c r="M11" s="2">
        <f t="shared" ref="M11:Q11" si="4">ROUND(SUM(M3:M10),5)</f>
        <v>28550</v>
      </c>
      <c r="N11" s="2">
        <f t="shared" si="4"/>
        <v>94550</v>
      </c>
      <c r="O11" s="2">
        <f t="shared" si="4"/>
        <v>16800</v>
      </c>
      <c r="P11" s="2">
        <f t="shared" si="4"/>
        <v>92110</v>
      </c>
      <c r="Q11" s="2">
        <f t="shared" si="4"/>
        <v>29085</v>
      </c>
    </row>
    <row r="12" spans="1:18" x14ac:dyDescent="0.25">
      <c r="M12" s="36"/>
    </row>
    <row r="13" spans="1:18" x14ac:dyDescent="0.25">
      <c r="A13" s="8" t="s">
        <v>133</v>
      </c>
      <c r="B13" s="8"/>
    </row>
    <row r="14" spans="1:18" x14ac:dyDescent="0.25">
      <c r="A14" s="10"/>
      <c r="C14" t="s">
        <v>120</v>
      </c>
      <c r="D14" t="s">
        <v>121</v>
      </c>
      <c r="E14" t="s">
        <v>122</v>
      </c>
      <c r="F14" t="s">
        <v>129</v>
      </c>
      <c r="G14" t="s">
        <v>130</v>
      </c>
      <c r="H14" t="s">
        <v>31</v>
      </c>
      <c r="I14" t="s">
        <v>24</v>
      </c>
      <c r="J14" t="s">
        <v>26</v>
      </c>
      <c r="K14" t="s">
        <v>27</v>
      </c>
      <c r="L14" t="s">
        <v>25</v>
      </c>
      <c r="M14" t="s">
        <v>28</v>
      </c>
      <c r="N14" t="s">
        <v>29</v>
      </c>
      <c r="O14" t="s">
        <v>30</v>
      </c>
      <c r="P14" t="s">
        <v>131</v>
      </c>
    </row>
    <row r="15" spans="1:18" x14ac:dyDescent="0.25">
      <c r="A15" s="1" t="s">
        <v>111</v>
      </c>
      <c r="B15" s="1"/>
    </row>
    <row r="16" spans="1:18" x14ac:dyDescent="0.25">
      <c r="A16" s="1"/>
      <c r="B16" s="1" t="s">
        <v>112</v>
      </c>
      <c r="C16" s="46"/>
      <c r="D16" s="46"/>
      <c r="E16" s="46"/>
      <c r="F16" s="46">
        <v>400</v>
      </c>
      <c r="G16" s="46"/>
      <c r="H16" s="46">
        <v>500</v>
      </c>
      <c r="I16" s="46"/>
      <c r="J16" s="46">
        <v>400</v>
      </c>
      <c r="K16" s="46"/>
      <c r="L16" s="46"/>
      <c r="M16" s="46"/>
      <c r="N16" s="46"/>
      <c r="O16" s="43">
        <f>SUM(C16:N16)</f>
        <v>1300</v>
      </c>
      <c r="P16" s="12">
        <f>+O16-M4</f>
        <v>0</v>
      </c>
    </row>
    <row r="17" spans="1:16" x14ac:dyDescent="0.25">
      <c r="A17" s="1"/>
      <c r="B17" s="1" t="s">
        <v>113</v>
      </c>
      <c r="C17" s="46"/>
      <c r="D17" s="46"/>
      <c r="E17" s="46"/>
      <c r="F17" s="46"/>
      <c r="G17" s="46"/>
      <c r="H17" s="46">
        <v>11800</v>
      </c>
      <c r="I17" s="46"/>
      <c r="J17" s="46"/>
      <c r="K17" s="46"/>
      <c r="L17" s="46"/>
      <c r="M17" s="46"/>
      <c r="N17" s="46"/>
      <c r="O17" s="43">
        <f t="shared" ref="O17:O22" si="5">SUM(C17:N17)</f>
        <v>11800</v>
      </c>
      <c r="P17" s="12">
        <f t="shared" ref="P17:P22" si="6">+O17-M5</f>
        <v>0</v>
      </c>
    </row>
    <row r="18" spans="1:16" x14ac:dyDescent="0.25">
      <c r="A18" s="1"/>
      <c r="B18" s="1" t="s">
        <v>114</v>
      </c>
      <c r="C18" s="46"/>
      <c r="D18" s="46"/>
      <c r="E18" s="46"/>
      <c r="F18" s="46"/>
      <c r="G18" s="46"/>
      <c r="H18" s="46"/>
      <c r="I18" s="47"/>
      <c r="J18" s="46"/>
      <c r="K18" s="47"/>
      <c r="L18" s="47"/>
      <c r="M18" s="46">
        <v>2150</v>
      </c>
      <c r="N18" s="46"/>
      <c r="O18" s="43">
        <f t="shared" si="5"/>
        <v>2150</v>
      </c>
      <c r="P18" s="12">
        <f t="shared" si="6"/>
        <v>0</v>
      </c>
    </row>
    <row r="19" spans="1:16" x14ac:dyDescent="0.25">
      <c r="A19" s="1"/>
      <c r="B19" s="1" t="s">
        <v>115</v>
      </c>
      <c r="C19" s="46"/>
      <c r="D19" s="46"/>
      <c r="E19" s="46"/>
      <c r="F19" s="46"/>
      <c r="G19" s="46">
        <v>12000</v>
      </c>
      <c r="H19" s="46"/>
      <c r="I19" s="46"/>
      <c r="J19" s="46"/>
      <c r="K19" s="46"/>
      <c r="L19" s="46"/>
      <c r="M19" s="46"/>
      <c r="N19" s="46"/>
      <c r="O19" s="43">
        <f t="shared" si="5"/>
        <v>12000</v>
      </c>
      <c r="P19" s="12">
        <f t="shared" si="6"/>
        <v>0</v>
      </c>
    </row>
    <row r="20" spans="1:16" x14ac:dyDescent="0.25">
      <c r="A20" s="1"/>
      <c r="B20" s="1" t="s">
        <v>116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3">
        <f t="shared" si="5"/>
        <v>0</v>
      </c>
      <c r="P20" s="12">
        <f t="shared" si="6"/>
        <v>0</v>
      </c>
    </row>
    <row r="21" spans="1:16" x14ac:dyDescent="0.25">
      <c r="A21" s="1"/>
      <c r="B21" s="1" t="s">
        <v>117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3">
        <f t="shared" si="5"/>
        <v>0</v>
      </c>
      <c r="P21" s="12">
        <f t="shared" si="6"/>
        <v>0</v>
      </c>
    </row>
    <row r="22" spans="1:16" ht="15.75" thickBot="1" x14ac:dyDescent="0.3">
      <c r="A22" s="1"/>
      <c r="B22" s="1" t="s">
        <v>118</v>
      </c>
      <c r="C22" s="46">
        <v>100</v>
      </c>
      <c r="D22" s="46">
        <v>100</v>
      </c>
      <c r="E22" s="46">
        <v>100</v>
      </c>
      <c r="F22" s="46">
        <v>100</v>
      </c>
      <c r="G22" s="46">
        <v>100</v>
      </c>
      <c r="H22" s="46">
        <v>200</v>
      </c>
      <c r="I22" s="46">
        <v>100</v>
      </c>
      <c r="J22" s="46">
        <v>100</v>
      </c>
      <c r="K22" s="46">
        <v>100</v>
      </c>
      <c r="L22" s="46">
        <v>100</v>
      </c>
      <c r="M22" s="46">
        <v>100</v>
      </c>
      <c r="N22" s="46">
        <v>100</v>
      </c>
      <c r="O22" s="43">
        <f t="shared" si="5"/>
        <v>1300</v>
      </c>
      <c r="P22" s="12">
        <f t="shared" si="6"/>
        <v>0</v>
      </c>
    </row>
    <row r="23" spans="1:16" ht="15.75" thickBot="1" x14ac:dyDescent="0.3">
      <c r="A23" s="1" t="s">
        <v>119</v>
      </c>
      <c r="B23" s="1"/>
      <c r="C23" s="7">
        <f>ROUND(SUM(C15:C22),5)</f>
        <v>100</v>
      </c>
      <c r="D23" s="7">
        <f t="shared" ref="D23:O23" si="7">ROUND(SUM(D15:D22),5)</f>
        <v>100</v>
      </c>
      <c r="E23" s="7">
        <f t="shared" si="7"/>
        <v>100</v>
      </c>
      <c r="F23" s="7">
        <f t="shared" si="7"/>
        <v>500</v>
      </c>
      <c r="G23" s="7">
        <f t="shared" si="7"/>
        <v>12100</v>
      </c>
      <c r="H23" s="7">
        <f t="shared" si="7"/>
        <v>12500</v>
      </c>
      <c r="I23" s="7">
        <f t="shared" si="7"/>
        <v>100</v>
      </c>
      <c r="J23" s="7">
        <f t="shared" si="7"/>
        <v>500</v>
      </c>
      <c r="K23" s="7">
        <f t="shared" si="7"/>
        <v>100</v>
      </c>
      <c r="L23" s="7">
        <f t="shared" si="7"/>
        <v>100</v>
      </c>
      <c r="M23" s="7">
        <f t="shared" si="7"/>
        <v>2250</v>
      </c>
      <c r="N23" s="7">
        <f t="shared" si="7"/>
        <v>100</v>
      </c>
      <c r="O23" s="7">
        <f t="shared" si="7"/>
        <v>28550</v>
      </c>
      <c r="P23" s="7">
        <f>ROUND(SUM(P15:P22),5)</f>
        <v>0</v>
      </c>
    </row>
    <row r="24" spans="1:16" ht="15.75" thickTop="1" x14ac:dyDescent="0.25"/>
    <row r="31" spans="1:16" x14ac:dyDescent="0.25">
      <c r="E31" t="s">
        <v>172</v>
      </c>
    </row>
    <row r="35" spans="3:16" x14ac:dyDescent="0.2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3:16" x14ac:dyDescent="0.2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3:16" x14ac:dyDescent="0.2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3:16" x14ac:dyDescent="0.2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3:16" x14ac:dyDescent="0.2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3:16" x14ac:dyDescent="0.2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3:16" x14ac:dyDescent="0.2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3:16" x14ac:dyDescent="0.2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3:16" x14ac:dyDescent="0.2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3:16" x14ac:dyDescent="0.2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3:16" x14ac:dyDescent="0.2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3:16" x14ac:dyDescent="0.2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3:16" x14ac:dyDescent="0.2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3:16" x14ac:dyDescent="0.2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3:16" x14ac:dyDescent="0.2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3:16" x14ac:dyDescent="0.2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3:16" x14ac:dyDescent="0.2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3:16" x14ac:dyDescent="0.2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3:16" x14ac:dyDescent="0.2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3:16" x14ac:dyDescent="0.2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3:16" x14ac:dyDescent="0.2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3:16" x14ac:dyDescent="0.2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</sheetData>
  <mergeCells count="1">
    <mergeCell ref="M1:Q1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45"/>
  <sheetViews>
    <sheetView showGridLines="0" tabSelected="1" workbookViewId="0">
      <selection sqref="A1:F1"/>
    </sheetView>
  </sheetViews>
  <sheetFormatPr defaultRowHeight="15" x14ac:dyDescent="0.25"/>
  <cols>
    <col min="1" max="1" width="27.140625" style="94" bestFit="1" customWidth="1"/>
    <col min="2" max="2" width="12.28515625" style="94" bestFit="1" customWidth="1"/>
    <col min="3" max="3" width="14" style="94" customWidth="1"/>
    <col min="4" max="4" width="12.28515625" style="94" bestFit="1" customWidth="1"/>
    <col min="5" max="5" width="12" style="94" customWidth="1"/>
    <col min="6" max="6" width="13.28515625" style="94" bestFit="1" customWidth="1"/>
    <col min="7" max="16384" width="9.140625" style="94"/>
  </cols>
  <sheetData>
    <row r="1" spans="1:6" ht="32.25" thickBot="1" x14ac:dyDescent="0.55000000000000004">
      <c r="A1" s="93" t="str">
        <f>"HLA "&amp;'General Fund'!$H$4&amp;" &amp; FIVE YEAR BUDGET OVERVIEW"</f>
        <v>HLA 2014 &amp; FIVE YEAR BUDGET OVERVIEW</v>
      </c>
      <c r="B1" s="93"/>
      <c r="C1" s="93"/>
      <c r="D1" s="93"/>
      <c r="E1" s="93"/>
      <c r="F1" s="93"/>
    </row>
    <row r="5" spans="1:6" ht="15.75" thickBot="1" x14ac:dyDescent="0.3"/>
    <row r="6" spans="1:6" ht="15.75" thickBot="1" x14ac:dyDescent="0.3">
      <c r="A6" s="95" t="str">
        <f>'Total Summary'!$M$2&amp;" CashFlow"</f>
        <v>2014 Budget CashFlow</v>
      </c>
      <c r="B6" s="96"/>
      <c r="C6" s="96"/>
      <c r="D6" s="96"/>
      <c r="E6" s="96"/>
      <c r="F6" s="97"/>
    </row>
    <row r="7" spans="1:6" ht="30" x14ac:dyDescent="0.25">
      <c r="B7" s="98" t="s">
        <v>290</v>
      </c>
      <c r="C7" s="98" t="s">
        <v>292</v>
      </c>
      <c r="D7" s="98" t="s">
        <v>291</v>
      </c>
      <c r="E7" s="98" t="s">
        <v>288</v>
      </c>
      <c r="F7" s="98" t="s">
        <v>30</v>
      </c>
    </row>
    <row r="8" spans="1:6" x14ac:dyDescent="0.25">
      <c r="A8" s="99" t="s">
        <v>293</v>
      </c>
      <c r="B8" s="100">
        <f>'Cash Flows'!B24</f>
        <v>45000</v>
      </c>
      <c r="C8" s="100">
        <f>'Cash Flows'!B37</f>
        <v>50000</v>
      </c>
      <c r="D8" s="100">
        <f>'Cash Flows'!B50</f>
        <v>145000</v>
      </c>
      <c r="E8" s="100">
        <f>'Cash Flows'!B62</f>
        <v>50000</v>
      </c>
      <c r="F8" s="100">
        <f>SUM(B8:E8)</f>
        <v>290000</v>
      </c>
    </row>
    <row r="9" spans="1:6" x14ac:dyDescent="0.25">
      <c r="A9" s="99" t="s">
        <v>307</v>
      </c>
      <c r="B9" s="100">
        <f>'Cash Flows'!B23</f>
        <v>37616.014869999999</v>
      </c>
      <c r="C9" s="100">
        <f>'Cash Flows'!B36</f>
        <v>-23216.904173999999</v>
      </c>
      <c r="D9" s="100">
        <f>'Cash Flows'!B49</f>
        <v>11626.348903999999</v>
      </c>
      <c r="E9" s="100">
        <f>'Cash Flows'!B61</f>
        <v>12370.62969</v>
      </c>
      <c r="F9" s="100">
        <f>SUM(B9:E9)</f>
        <v>38396.089289999996</v>
      </c>
    </row>
    <row r="10" spans="1:6" ht="15.75" thickBot="1" x14ac:dyDescent="0.3">
      <c r="A10" s="99" t="s">
        <v>289</v>
      </c>
      <c r="B10" s="101">
        <f>SUM(B8:B9)</f>
        <v>82616.014869999999</v>
      </c>
      <c r="C10" s="101">
        <f>SUM(C8:C9)</f>
        <v>26783.095826000001</v>
      </c>
      <c r="D10" s="101">
        <f>SUM(D8:D9)</f>
        <v>156626.34890400001</v>
      </c>
      <c r="E10" s="101">
        <f>SUM(E8:E9)</f>
        <v>62370.629690000002</v>
      </c>
      <c r="F10" s="101">
        <f>SUM(F8:F9)</f>
        <v>328396.08928999997</v>
      </c>
    </row>
    <row r="11" spans="1:6" ht="15.75" thickTop="1" x14ac:dyDescent="0.25"/>
    <row r="12" spans="1:6" ht="15.75" thickBot="1" x14ac:dyDescent="0.3"/>
    <row r="13" spans="1:6" ht="15.75" thickBot="1" x14ac:dyDescent="0.3">
      <c r="A13" s="95" t="str">
        <f>'Total Summary'!$M$2&amp;" Profit &amp; Loss"</f>
        <v>2014 Budget Profit &amp; Loss</v>
      </c>
      <c r="B13" s="96"/>
      <c r="C13" s="96"/>
      <c r="D13" s="96"/>
      <c r="E13" s="96"/>
      <c r="F13" s="97"/>
    </row>
    <row r="14" spans="1:6" ht="30" x14ac:dyDescent="0.25">
      <c r="B14" s="98" t="s">
        <v>290</v>
      </c>
      <c r="C14" s="98" t="s">
        <v>292</v>
      </c>
      <c r="D14" s="98" t="s">
        <v>291</v>
      </c>
      <c r="E14" s="98" t="s">
        <v>288</v>
      </c>
      <c r="F14" s="98" t="s">
        <v>30</v>
      </c>
    </row>
    <row r="15" spans="1:6" x14ac:dyDescent="0.25">
      <c r="A15" s="99" t="s">
        <v>138</v>
      </c>
      <c r="B15" s="100">
        <f>+'General Fund'!H$25</f>
        <v>260913.59375</v>
      </c>
      <c r="C15" s="100">
        <f>+'Road Fund'!H$25</f>
        <v>52306.157399999996</v>
      </c>
      <c r="D15" s="100">
        <f>+'Lake Fund'!H$25</f>
        <v>40579.019099999998</v>
      </c>
      <c r="E15" s="100">
        <f>+'Emergency Fund'!H$25</f>
        <v>0</v>
      </c>
      <c r="F15" s="100">
        <f>SUM(B15:E15)</f>
        <v>353798.77025</v>
      </c>
    </row>
    <row r="16" spans="1:6" x14ac:dyDescent="0.25">
      <c r="A16" s="99" t="s">
        <v>294</v>
      </c>
      <c r="B16" s="100">
        <f>-'General Fund'!H$155</f>
        <v>-270944.08263000002</v>
      </c>
      <c r="C16" s="100">
        <f>-'Road Fund'!H$155</f>
        <v>-77615.307870000004</v>
      </c>
      <c r="D16" s="100">
        <f>-'Lake Fund'!H$155</f>
        <v>-30563.35096</v>
      </c>
      <c r="E16" s="100">
        <f>-'Emergency Fund'!H$155</f>
        <v>12370.62969</v>
      </c>
      <c r="F16" s="100">
        <f>SUM(B16:E16)</f>
        <v>-366752.11177000008</v>
      </c>
    </row>
    <row r="17" spans="1:6" ht="15.75" thickBot="1" x14ac:dyDescent="0.3">
      <c r="A17" s="99" t="s">
        <v>169</v>
      </c>
      <c r="B17" s="101">
        <f>SUM(B15:B16)</f>
        <v>-10030.488880000019</v>
      </c>
      <c r="C17" s="101">
        <f>SUM(C15:C16)</f>
        <v>-25309.150470000008</v>
      </c>
      <c r="D17" s="101">
        <f>SUM(D15:D16)</f>
        <v>10015.668139999998</v>
      </c>
      <c r="E17" s="101">
        <f>SUM(E15:E16)</f>
        <v>12370.62969</v>
      </c>
      <c r="F17" s="101">
        <f>SUM(F15:F16)</f>
        <v>-12953.341520000075</v>
      </c>
    </row>
    <row r="18" spans="1:6" ht="15.75" thickTop="1" x14ac:dyDescent="0.25"/>
    <row r="19" spans="1:6" ht="15.75" thickBot="1" x14ac:dyDescent="0.3"/>
    <row r="20" spans="1:6" ht="15.75" thickBot="1" x14ac:dyDescent="0.3">
      <c r="A20" s="95" t="str">
        <f>"Five Year CashFlow"</f>
        <v>Five Year CashFlow</v>
      </c>
      <c r="B20" s="96"/>
      <c r="C20" s="96"/>
      <c r="D20" s="96"/>
      <c r="E20" s="96"/>
      <c r="F20" s="97"/>
    </row>
    <row r="21" spans="1:6" ht="15.75" thickBot="1" x14ac:dyDescent="0.3">
      <c r="B21" s="102" t="str">
        <f>'Total Summary'!$H$4</f>
        <v>2014</v>
      </c>
      <c r="C21" s="102">
        <f>'Total Summary'!$I$4</f>
        <v>2015</v>
      </c>
      <c r="D21" s="102">
        <f>'Total Summary'!$J$4</f>
        <v>2016</v>
      </c>
      <c r="E21" s="102">
        <f>'Total Summary'!$K$4</f>
        <v>2017</v>
      </c>
      <c r="F21" s="102">
        <f>'Total Summary'!$L$4</f>
        <v>2018</v>
      </c>
    </row>
    <row r="22" spans="1:6" x14ac:dyDescent="0.25">
      <c r="A22" s="99" t="s">
        <v>293</v>
      </c>
      <c r="B22" s="100">
        <f>'Cash Flows'!B11</f>
        <v>290000</v>
      </c>
      <c r="C22" s="100">
        <f>'Cash Flows'!C11</f>
        <v>328396.08929999999</v>
      </c>
      <c r="D22" s="100">
        <f>'Cash Flows'!D11</f>
        <v>286185.07359215</v>
      </c>
      <c r="E22" s="100">
        <f>'Cash Flows'!E11</f>
        <v>356136.12520838226</v>
      </c>
      <c r="F22" s="100">
        <f>'Cash Flows'!F11</f>
        <v>370002.14283870801</v>
      </c>
    </row>
    <row r="23" spans="1:6" x14ac:dyDescent="0.25">
      <c r="A23" s="99" t="s">
        <v>307</v>
      </c>
      <c r="B23" s="100">
        <f>+'Cash Flows'!B10</f>
        <v>38396.0893</v>
      </c>
      <c r="C23" s="100">
        <f>+'Cash Flows'!C10</f>
        <v>-42211.015707850005</v>
      </c>
      <c r="D23" s="100">
        <f>+'Cash Flows'!D10</f>
        <v>69951.051616232246</v>
      </c>
      <c r="E23" s="100">
        <f>+'Cash Flows'!E10</f>
        <v>13866.017630325725</v>
      </c>
      <c r="F23" s="100">
        <f>+'Cash Flows'!F10</f>
        <v>82238.861870980618</v>
      </c>
    </row>
    <row r="24" spans="1:6" ht="15.75" thickBot="1" x14ac:dyDescent="0.3">
      <c r="A24" s="99" t="s">
        <v>289</v>
      </c>
      <c r="B24" s="101">
        <f>SUM(B22:B23)</f>
        <v>328396.08929999999</v>
      </c>
      <c r="C24" s="101">
        <f>SUM(C22:C23)</f>
        <v>286185.07359215</v>
      </c>
      <c r="D24" s="101">
        <f>SUM(D22:D23)</f>
        <v>356136.12520838226</v>
      </c>
      <c r="E24" s="101">
        <f>SUM(E22:E23)</f>
        <v>370002.14283870801</v>
      </c>
      <c r="F24" s="101">
        <f>SUM(F22:F23)</f>
        <v>452241.0047096886</v>
      </c>
    </row>
    <row r="25" spans="1:6" ht="16.5" thickTop="1" thickBot="1" x14ac:dyDescent="0.3"/>
    <row r="26" spans="1:6" ht="15.75" thickBot="1" x14ac:dyDescent="0.3">
      <c r="A26" s="95" t="str">
        <f>"Five Year Profit &amp; Loss"</f>
        <v>Five Year Profit &amp; Loss</v>
      </c>
      <c r="B26" s="96"/>
      <c r="C26" s="96"/>
      <c r="D26" s="96"/>
      <c r="E26" s="96"/>
      <c r="F26" s="97"/>
    </row>
    <row r="27" spans="1:6" ht="15.75" thickBot="1" x14ac:dyDescent="0.3">
      <c r="B27" s="102" t="str">
        <f>'Total Summary'!$H$4</f>
        <v>2014</v>
      </c>
      <c r="C27" s="102">
        <f>'Total Summary'!$I$4</f>
        <v>2015</v>
      </c>
      <c r="D27" s="102">
        <f>'Total Summary'!$J$4</f>
        <v>2016</v>
      </c>
      <c r="E27" s="102">
        <f>'Total Summary'!$K$4</f>
        <v>2017</v>
      </c>
      <c r="F27" s="102">
        <f>'Total Summary'!$L$4</f>
        <v>2018</v>
      </c>
    </row>
    <row r="28" spans="1:6" x14ac:dyDescent="0.25">
      <c r="A28" s="99" t="s">
        <v>138</v>
      </c>
      <c r="B28" s="100">
        <f>+'Total Summary'!H25</f>
        <v>353798.77025</v>
      </c>
      <c r="C28" s="100">
        <f>+'Total Summary'!I25</f>
        <v>358899.55680000002</v>
      </c>
      <c r="D28" s="100">
        <f>+'Total Summary'!J25</f>
        <v>364077.84016000002</v>
      </c>
      <c r="E28" s="100">
        <f>+'Total Summary'!K25</f>
        <v>369332.76776000002</v>
      </c>
      <c r="F28" s="100">
        <f>+'Total Summary'!L25</f>
        <v>374667.50426999998</v>
      </c>
    </row>
    <row r="29" spans="1:6" x14ac:dyDescent="0.25">
      <c r="A29" s="99" t="s">
        <v>294</v>
      </c>
      <c r="B29" s="100">
        <f>-'Total Summary'!H155</f>
        <v>-366752.11176</v>
      </c>
      <c r="C29" s="100">
        <f>-'Total Summary'!I155</f>
        <v>-452663.99478000001</v>
      </c>
      <c r="D29" s="100">
        <f>-'Total Summary'!J155</f>
        <v>-345887.26215000002</v>
      </c>
      <c r="E29" s="100">
        <f>-'Total Summary'!K155</f>
        <v>-407437.38084</v>
      </c>
      <c r="F29" s="100">
        <f>-'Total Summary'!L155</f>
        <v>-344612.58257000003</v>
      </c>
    </row>
    <row r="30" spans="1:6" ht="15.75" thickBot="1" x14ac:dyDescent="0.3">
      <c r="A30" s="99" t="s">
        <v>169</v>
      </c>
      <c r="B30" s="101">
        <f>SUM(B28:B29)</f>
        <v>-12953.341509999998</v>
      </c>
      <c r="C30" s="101">
        <f>SUM(C28:C29)</f>
        <v>-93764.437979999988</v>
      </c>
      <c r="D30" s="101">
        <f>SUM(D28:D29)</f>
        <v>18190.578009999997</v>
      </c>
      <c r="E30" s="101">
        <f>SUM(E28:E29)</f>
        <v>-38104.613079999981</v>
      </c>
      <c r="F30" s="101">
        <f>SUM(F28:F29)</f>
        <v>30054.921699999948</v>
      </c>
    </row>
    <row r="31" spans="1:6" ht="15.75" thickTop="1" x14ac:dyDescent="0.25"/>
    <row r="32" spans="1:6" ht="15.75" thickBot="1" x14ac:dyDescent="0.3"/>
    <row r="33" spans="1:6" ht="15.75" thickBot="1" x14ac:dyDescent="0.3">
      <c r="A33" s="95" t="str">
        <f>"Major Projects in Five Year Budget"</f>
        <v>Major Projects in Five Year Budget</v>
      </c>
      <c r="B33" s="96"/>
      <c r="C33" s="96"/>
      <c r="D33" s="96"/>
      <c r="E33" s="96"/>
      <c r="F33" s="97"/>
    </row>
    <row r="34" spans="1:6" ht="6.75" customHeight="1" x14ac:dyDescent="0.25">
      <c r="B34" s="103"/>
      <c r="C34" s="103"/>
      <c r="D34" s="103"/>
      <c r="E34" s="103"/>
      <c r="F34" s="103"/>
    </row>
    <row r="35" spans="1:6" x14ac:dyDescent="0.25">
      <c r="B35" s="104">
        <f>'Major Projects'!D4</f>
        <v>2014</v>
      </c>
      <c r="C35" s="94" t="s">
        <v>295</v>
      </c>
      <c r="D35" s="105"/>
      <c r="E35" s="105"/>
      <c r="F35" s="105">
        <f>'Major Projects'!I4</f>
        <v>4000</v>
      </c>
    </row>
    <row r="36" spans="1:6" x14ac:dyDescent="0.25">
      <c r="B36" s="104">
        <f>'Major Projects'!D5</f>
        <v>2014</v>
      </c>
      <c r="C36" s="106" t="s">
        <v>296</v>
      </c>
      <c r="D36" s="105"/>
      <c r="E36" s="105"/>
      <c r="F36" s="105">
        <f>'Major Projects'!I5</f>
        <v>3500</v>
      </c>
    </row>
    <row r="37" spans="1:6" x14ac:dyDescent="0.25">
      <c r="B37" s="104">
        <f>'Major Projects'!D6</f>
        <v>2014</v>
      </c>
      <c r="C37" s="94" t="s">
        <v>193</v>
      </c>
      <c r="D37" s="105"/>
      <c r="E37" s="105"/>
      <c r="F37" s="105">
        <f>'Major Projects'!I6</f>
        <v>2500</v>
      </c>
    </row>
    <row r="38" spans="1:6" x14ac:dyDescent="0.25">
      <c r="B38" s="104">
        <f>'Major Projects'!D7</f>
        <v>2014</v>
      </c>
      <c r="C38" s="94" t="s">
        <v>297</v>
      </c>
      <c r="F38" s="105">
        <f>'Major Projects'!I7</f>
        <v>1000</v>
      </c>
    </row>
    <row r="39" spans="1:6" x14ac:dyDescent="0.25">
      <c r="B39" s="104">
        <f>'Major Projects'!D8</f>
        <v>2014</v>
      </c>
      <c r="C39" s="94" t="s">
        <v>304</v>
      </c>
      <c r="F39" s="105">
        <f>'Major Projects'!I8</f>
        <v>5500</v>
      </c>
    </row>
    <row r="40" spans="1:6" x14ac:dyDescent="0.25">
      <c r="B40" s="104">
        <f>'Major Projects'!D9</f>
        <v>2015</v>
      </c>
      <c r="C40" s="94" t="s">
        <v>298</v>
      </c>
      <c r="F40" s="105">
        <f>'Major Projects'!I9</f>
        <v>4500</v>
      </c>
    </row>
    <row r="41" spans="1:6" x14ac:dyDescent="0.25">
      <c r="B41" s="104">
        <f>'Major Projects'!D10</f>
        <v>2015</v>
      </c>
      <c r="C41" s="94" t="s">
        <v>196</v>
      </c>
      <c r="F41" s="105">
        <f>'Major Projects'!I10</f>
        <v>10000</v>
      </c>
    </row>
    <row r="42" spans="1:6" x14ac:dyDescent="0.25">
      <c r="B42" s="104">
        <f>'Major Projects'!D11</f>
        <v>2015</v>
      </c>
      <c r="C42" s="94" t="s">
        <v>299</v>
      </c>
      <c r="F42" s="105">
        <f>'Major Projects'!I11</f>
        <v>2500</v>
      </c>
    </row>
    <row r="43" spans="1:6" x14ac:dyDescent="0.25">
      <c r="B43" s="104">
        <f>'Major Projects'!D12</f>
        <v>2015</v>
      </c>
      <c r="C43" s="94" t="s">
        <v>302</v>
      </c>
      <c r="F43" s="105">
        <f>'Major Projects'!I12</f>
        <v>14000</v>
      </c>
    </row>
    <row r="44" spans="1:6" x14ac:dyDescent="0.25">
      <c r="B44" s="104">
        <f>'Major Projects'!D13</f>
        <v>2016</v>
      </c>
      <c r="C44" s="94" t="s">
        <v>300</v>
      </c>
      <c r="F44" s="105">
        <f>'Major Projects'!I13</f>
        <v>25000</v>
      </c>
    </row>
    <row r="45" spans="1:6" x14ac:dyDescent="0.25">
      <c r="B45" s="104">
        <f>'Major Projects'!D14</f>
        <v>2017</v>
      </c>
      <c r="C45" s="94" t="s">
        <v>194</v>
      </c>
      <c r="F45" s="105">
        <f>'Major Projects'!I14</f>
        <v>4500</v>
      </c>
    </row>
  </sheetData>
  <sheetProtection password="CC20" sheet="1" objects="1" scenarios="1"/>
  <mergeCells count="6">
    <mergeCell ref="A33:F33"/>
    <mergeCell ref="A1:F1"/>
    <mergeCell ref="A6:F6"/>
    <mergeCell ref="A13:F13"/>
    <mergeCell ref="A20:F20"/>
    <mergeCell ref="A26:F26"/>
  </mergeCells>
  <pageMargins left="0.7" right="0.7" top="0.75" bottom="0.75" header="0.3" footer="0.3"/>
  <pageSetup scale="9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rgb="FFFFFF00"/>
  </sheetPr>
  <dimension ref="A1:R43"/>
  <sheetViews>
    <sheetView workbookViewId="0">
      <pane xSplit="2" ySplit="2" topLeftCell="C3" activePane="bottomRight" state="frozen"/>
      <selection activeCell="G29" sqref="G29"/>
      <selection pane="topRight" activeCell="G29" sqref="G29"/>
      <selection pane="bottomLeft" activeCell="G29" sqref="G29"/>
      <selection pane="bottomRight" activeCell="G29" sqref="G29"/>
    </sheetView>
  </sheetViews>
  <sheetFormatPr defaultRowHeight="15" x14ac:dyDescent="0.25"/>
  <cols>
    <col min="2" max="2" width="33.5703125" bestFit="1" customWidth="1"/>
    <col min="3" max="7" width="10.42578125" bestFit="1" customWidth="1"/>
    <col min="8" max="8" width="11.5703125" bestFit="1" customWidth="1"/>
    <col min="9" max="12" width="10.42578125" bestFit="1" customWidth="1"/>
    <col min="13" max="14" width="10.7109375" bestFit="1" customWidth="1"/>
    <col min="15" max="15" width="11.5703125" bestFit="1" customWidth="1"/>
    <col min="16" max="16" width="11.28515625" bestFit="1" customWidth="1"/>
    <col min="17" max="17" width="10.5703125" bestFit="1" customWidth="1"/>
  </cols>
  <sheetData>
    <row r="1" spans="1:18" x14ac:dyDescent="0.25">
      <c r="A1" s="51">
        <f>'Master Input Tab'!B3</f>
        <v>1.4999999999999999E-2</v>
      </c>
      <c r="K1" t="s">
        <v>170</v>
      </c>
      <c r="M1" s="90" t="s">
        <v>132</v>
      </c>
      <c r="N1" s="91"/>
      <c r="O1" s="91"/>
      <c r="P1" s="91"/>
      <c r="Q1" s="92"/>
      <c r="R1" s="8" t="s">
        <v>134</v>
      </c>
    </row>
    <row r="2" spans="1:18" ht="15.75" thickBot="1" x14ac:dyDescent="0.3">
      <c r="A2" s="52">
        <f>'Master Input Tab'!B4</f>
        <v>0.03</v>
      </c>
      <c r="C2" s="5">
        <v>2005</v>
      </c>
      <c r="D2" s="6">
        <v>2006</v>
      </c>
      <c r="E2" s="6">
        <v>2007</v>
      </c>
      <c r="F2" s="6">
        <v>2008</v>
      </c>
      <c r="G2" s="6">
        <v>2009</v>
      </c>
      <c r="H2" s="6">
        <v>2010</v>
      </c>
      <c r="I2" s="6">
        <v>2011</v>
      </c>
      <c r="J2" s="6">
        <v>2012</v>
      </c>
      <c r="K2" s="6">
        <v>2013</v>
      </c>
      <c r="L2" s="6" t="s">
        <v>171</v>
      </c>
      <c r="M2" s="81" t="str">
        <f>'Total Summary'!$H$4</f>
        <v>2014</v>
      </c>
      <c r="N2" s="81">
        <f>'Total Summary'!$I$4</f>
        <v>2015</v>
      </c>
      <c r="O2" s="81">
        <f>'Total Summary'!$J$4</f>
        <v>2016</v>
      </c>
      <c r="P2" s="81">
        <f>'Total Summary'!$K$4</f>
        <v>2017</v>
      </c>
      <c r="Q2" s="81">
        <f>'Total Summary'!$L$4</f>
        <v>2018</v>
      </c>
    </row>
    <row r="3" spans="1:18" x14ac:dyDescent="0.25">
      <c r="A3" s="1" t="s">
        <v>173</v>
      </c>
      <c r="B3" s="1"/>
      <c r="C3" s="2"/>
      <c r="D3" s="2"/>
      <c r="E3" s="2"/>
      <c r="F3" s="2"/>
      <c r="G3" s="2"/>
      <c r="H3" s="2"/>
      <c r="I3" s="2"/>
      <c r="J3" s="2"/>
    </row>
    <row r="4" spans="1:18" x14ac:dyDescent="0.25">
      <c r="A4" s="1"/>
      <c r="B4" s="16" t="s">
        <v>123</v>
      </c>
      <c r="C4" s="2">
        <v>3127.5</v>
      </c>
      <c r="D4" s="2">
        <v>1703.5</v>
      </c>
      <c r="E4" s="2">
        <v>1446.88</v>
      </c>
      <c r="F4" s="2">
        <v>177</v>
      </c>
      <c r="G4" s="2">
        <v>0</v>
      </c>
      <c r="H4" s="2">
        <v>0</v>
      </c>
      <c r="I4" s="2">
        <v>0</v>
      </c>
      <c r="J4" s="2">
        <v>3997.38</v>
      </c>
      <c r="K4" s="2">
        <f>VLOOKUP(B4,Summary!F:H,3,FALSE)/8*12</f>
        <v>4653.2250000000004</v>
      </c>
      <c r="L4" s="2">
        <f t="shared" ref="L4" si="0">SUM(C4:K4)/10</f>
        <v>1510.5485000000001</v>
      </c>
      <c r="M4" s="39">
        <v>19000</v>
      </c>
      <c r="N4" s="58">
        <f>M4*(1+$A$1)</f>
        <v>19284.999999999996</v>
      </c>
      <c r="O4" s="58">
        <f t="shared" ref="O4:Q4" si="1">N4*(1+$A$1)</f>
        <v>19574.274999999994</v>
      </c>
      <c r="P4" s="58">
        <f t="shared" si="1"/>
        <v>19867.889124999991</v>
      </c>
      <c r="Q4" s="58">
        <f t="shared" si="1"/>
        <v>20165.907461874987</v>
      </c>
    </row>
    <row r="5" spans="1:18" x14ac:dyDescent="0.25">
      <c r="A5" s="1"/>
      <c r="B5" s="16" t="s">
        <v>124</v>
      </c>
      <c r="C5" s="2">
        <v>2132.66</v>
      </c>
      <c r="D5" s="2">
        <v>4540.6000000000004</v>
      </c>
      <c r="E5" s="2">
        <v>1222.94</v>
      </c>
      <c r="F5" s="2">
        <v>82651.22</v>
      </c>
      <c r="G5" s="2">
        <v>15842.75</v>
      </c>
      <c r="H5" s="2">
        <v>1966</v>
      </c>
      <c r="I5" s="2">
        <v>983.4</v>
      </c>
      <c r="J5" s="2">
        <v>0</v>
      </c>
      <c r="K5" s="2">
        <f>VLOOKUP(B5,Summary!F:H,3,FALSE)/8*12</f>
        <v>435</v>
      </c>
      <c r="L5" s="2">
        <f t="shared" ref="L5:L11" si="2">SUM(C5:K5)/10</f>
        <v>10977.456999999999</v>
      </c>
      <c r="M5" s="58">
        <f>((Revenue!M4+Revenue!M17+Revenue!M6)*'Master Input Tab'!$B$8)*'Master Input Tab'!$B$9</f>
        <v>3399.8577024999995</v>
      </c>
      <c r="N5" s="58">
        <f>((Revenue!N4+Revenue!N17+Revenue!N6)*'Master Input Tab'!$B$8)*'Master Input Tab'!$B$9</f>
        <v>3450.8555680374993</v>
      </c>
      <c r="O5" s="58">
        <f>((Revenue!O4+Revenue!O17+Revenue!O6)*'Master Input Tab'!$B$8)*'Master Input Tab'!$B$9</f>
        <v>3502.6184015580616</v>
      </c>
      <c r="P5" s="58">
        <f>((Revenue!P4+Revenue!P17+Revenue!P6)*'Master Input Tab'!$B$8)*'Master Input Tab'!$B$9</f>
        <v>3555.1576775814319</v>
      </c>
      <c r="Q5" s="58">
        <f>((Revenue!Q4+Revenue!Q17+Revenue!Q6)*'Master Input Tab'!$B$8)*'Master Input Tab'!$B$9</f>
        <v>3608.4850427451534</v>
      </c>
    </row>
    <row r="6" spans="1:18" x14ac:dyDescent="0.25">
      <c r="A6" s="1"/>
      <c r="B6" s="16" t="s">
        <v>125</v>
      </c>
      <c r="C6" s="2">
        <v>744.38</v>
      </c>
      <c r="D6" s="2">
        <v>65.72</v>
      </c>
      <c r="E6" s="2">
        <v>776</v>
      </c>
      <c r="F6" s="2">
        <v>800</v>
      </c>
      <c r="G6" s="2">
        <v>870.31</v>
      </c>
      <c r="H6" s="2">
        <v>1350.56</v>
      </c>
      <c r="I6" s="2">
        <v>1409.06</v>
      </c>
      <c r="J6" s="2">
        <v>1397.69</v>
      </c>
      <c r="K6" s="2">
        <f>VLOOKUP(B6,Summary!F:H,3,FALSE)/8*12</f>
        <v>248.57999999999998</v>
      </c>
      <c r="L6" s="2">
        <f t="shared" si="2"/>
        <v>766.2299999999999</v>
      </c>
      <c r="M6" s="39">
        <v>0</v>
      </c>
      <c r="N6" s="58">
        <f>M6</f>
        <v>0</v>
      </c>
      <c r="O6" s="58">
        <f t="shared" ref="O6:Q6" si="3">N6</f>
        <v>0</v>
      </c>
      <c r="P6" s="58">
        <f t="shared" si="3"/>
        <v>0</v>
      </c>
      <c r="Q6" s="58">
        <f t="shared" si="3"/>
        <v>0</v>
      </c>
    </row>
    <row r="7" spans="1:18" x14ac:dyDescent="0.25">
      <c r="A7" s="1"/>
      <c r="B7" s="16" t="s">
        <v>126</v>
      </c>
      <c r="C7" s="2">
        <v>566.91</v>
      </c>
      <c r="D7" s="2">
        <v>25833.25</v>
      </c>
      <c r="E7" s="2">
        <v>52899.91</v>
      </c>
      <c r="F7" s="2">
        <v>0</v>
      </c>
      <c r="G7" s="2">
        <v>15</v>
      </c>
      <c r="H7" s="2">
        <v>5240</v>
      </c>
      <c r="I7" s="2">
        <v>7377</v>
      </c>
      <c r="J7" s="2">
        <v>0</v>
      </c>
      <c r="K7" s="2">
        <f>VLOOKUP(B7,Summary!F:H,3,FALSE)/8*12</f>
        <v>37750.14</v>
      </c>
      <c r="L7" s="2">
        <f t="shared" si="2"/>
        <v>12968.221000000001</v>
      </c>
      <c r="M7" s="39">
        <f>ROUND(K7,0)</f>
        <v>37750</v>
      </c>
      <c r="N7" s="58">
        <f>M7</f>
        <v>37750</v>
      </c>
      <c r="O7" s="58">
        <f t="shared" ref="O7:Q7" si="4">N7</f>
        <v>37750</v>
      </c>
      <c r="P7" s="58">
        <f t="shared" si="4"/>
        <v>37750</v>
      </c>
      <c r="Q7" s="58">
        <f t="shared" si="4"/>
        <v>37750</v>
      </c>
    </row>
    <row r="8" spans="1:18" x14ac:dyDescent="0.25">
      <c r="A8" s="1"/>
      <c r="B8" s="16" t="s">
        <v>127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22</v>
      </c>
      <c r="I8" s="2">
        <v>0</v>
      </c>
      <c r="J8" s="2">
        <v>0</v>
      </c>
      <c r="K8" s="2">
        <f>VLOOKUP(B8,Summary!F:H,3,FALSE)/8*12</f>
        <v>37897.979999999996</v>
      </c>
      <c r="L8" s="2">
        <f t="shared" si="2"/>
        <v>3791.9979999999996</v>
      </c>
      <c r="M8" s="58">
        <f>((Revenue!M4+Revenue!M17+Revenue!M6)*'Master Input Tab'!$B$8)</f>
        <v>13599.430809999998</v>
      </c>
      <c r="N8" s="58">
        <f>((Revenue!N4+Revenue!N17+Revenue!N6)*'Master Input Tab'!$B$8)</f>
        <v>13803.422272149997</v>
      </c>
      <c r="O8" s="58">
        <f>((Revenue!O4+Revenue!O17+Revenue!O6)*'Master Input Tab'!$B$8)</f>
        <v>14010.473606232246</v>
      </c>
      <c r="P8" s="58">
        <f>((Revenue!P4+Revenue!P17+Revenue!P6)*'Master Input Tab'!$B$8)</f>
        <v>14220.630710325728</v>
      </c>
      <c r="Q8" s="58">
        <f>((Revenue!Q4+Revenue!Q17+Revenue!Q6)*'Master Input Tab'!$B$8)</f>
        <v>14433.940170980613</v>
      </c>
    </row>
    <row r="9" spans="1:18" x14ac:dyDescent="0.25">
      <c r="A9" s="1"/>
      <c r="B9" s="16" t="s">
        <v>166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250</v>
      </c>
      <c r="J9" s="2">
        <v>0</v>
      </c>
      <c r="K9" s="2">
        <f>VLOOKUP(B9,Summary!F:H,3,FALSE)/8*12</f>
        <v>19.5</v>
      </c>
      <c r="L9" s="2">
        <f t="shared" si="2"/>
        <v>26.95</v>
      </c>
      <c r="M9" s="39">
        <v>0</v>
      </c>
      <c r="N9" s="58">
        <f t="shared" ref="N9:Q9" si="5">M9</f>
        <v>0</v>
      </c>
      <c r="O9" s="58">
        <f t="shared" si="5"/>
        <v>0</v>
      </c>
      <c r="P9" s="58">
        <f t="shared" si="5"/>
        <v>0</v>
      </c>
      <c r="Q9" s="58">
        <f t="shared" si="5"/>
        <v>0</v>
      </c>
    </row>
    <row r="10" spans="1:18" x14ac:dyDescent="0.25">
      <c r="A10" s="1"/>
      <c r="B10" s="16" t="s">
        <v>266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f t="shared" ref="L10" si="6">SUM(C10:K10)/10</f>
        <v>0</v>
      </c>
      <c r="M10" s="58">
        <f>+Revenue!M$4*'Master Input Tab'!$B$12</f>
        <v>12370.629687499999</v>
      </c>
      <c r="N10" s="58">
        <f>+Revenue!N$4*'Master Input Tab'!$B$12</f>
        <v>12556.189132812498</v>
      </c>
      <c r="O10" s="58">
        <f>+Revenue!O$4*'Master Input Tab'!$B$12</f>
        <v>12744.531969804684</v>
      </c>
      <c r="P10" s="58">
        <f>+Revenue!P$4*'Master Input Tab'!$B$12</f>
        <v>12935.699949351752</v>
      </c>
      <c r="Q10" s="58">
        <f>+Revenue!Q$4*'Master Input Tab'!$B$12</f>
        <v>13129.73544859203</v>
      </c>
    </row>
    <row r="11" spans="1:18" ht="15.75" thickBot="1" x14ac:dyDescent="0.3">
      <c r="A11" s="1"/>
      <c r="B11" s="16" t="s">
        <v>167</v>
      </c>
      <c r="C11" s="3">
        <v>0</v>
      </c>
      <c r="D11" s="3">
        <v>132.97999999999999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f>VLOOKUP(B11,Summary!F:H,3,FALSE)/8*12</f>
        <v>70205.115000000005</v>
      </c>
      <c r="L11" s="3">
        <f t="shared" si="2"/>
        <v>7033.8095000000003</v>
      </c>
      <c r="M11" s="40">
        <v>0</v>
      </c>
      <c r="N11" s="59">
        <f t="shared" ref="N11:Q11" si="7">M11</f>
        <v>0</v>
      </c>
      <c r="O11" s="59">
        <f t="shared" si="7"/>
        <v>0</v>
      </c>
      <c r="P11" s="59">
        <f t="shared" si="7"/>
        <v>0</v>
      </c>
      <c r="Q11" s="59">
        <f t="shared" si="7"/>
        <v>0</v>
      </c>
    </row>
    <row r="12" spans="1:18" x14ac:dyDescent="0.25">
      <c r="A12" s="1" t="s">
        <v>174</v>
      </c>
      <c r="B12" s="1"/>
      <c r="C12" s="2">
        <f t="shared" ref="C12:J12" si="8">ROUND(SUM(C3:C11),5)</f>
        <v>6571.45</v>
      </c>
      <c r="D12" s="2">
        <f t="shared" si="8"/>
        <v>32276.05</v>
      </c>
      <c r="E12" s="2">
        <f t="shared" si="8"/>
        <v>56345.73</v>
      </c>
      <c r="F12" s="2">
        <f t="shared" si="8"/>
        <v>83628.22</v>
      </c>
      <c r="G12" s="2">
        <f t="shared" si="8"/>
        <v>16728.060000000001</v>
      </c>
      <c r="H12" s="2">
        <f t="shared" si="8"/>
        <v>8578.56</v>
      </c>
      <c r="I12" s="2">
        <f t="shared" si="8"/>
        <v>10019.459999999999</v>
      </c>
      <c r="J12" s="2">
        <f t="shared" si="8"/>
        <v>5395.07</v>
      </c>
      <c r="K12" s="2">
        <f t="shared" ref="K12:Q12" si="9">ROUND(SUM(K3:K11),5)</f>
        <v>151209.54</v>
      </c>
      <c r="L12" s="2">
        <f t="shared" si="9"/>
        <v>37075.214</v>
      </c>
      <c r="M12" s="2">
        <f t="shared" si="9"/>
        <v>86119.9182</v>
      </c>
      <c r="N12" s="2">
        <f t="shared" si="9"/>
        <v>86845.466969999994</v>
      </c>
      <c r="O12" s="2">
        <f t="shared" si="9"/>
        <v>87581.898979999998</v>
      </c>
      <c r="P12" s="2">
        <f t="shared" si="9"/>
        <v>88329.377460000003</v>
      </c>
      <c r="Q12" s="2">
        <f t="shared" si="9"/>
        <v>89088.068119999996</v>
      </c>
    </row>
    <row r="14" spans="1:18" x14ac:dyDescent="0.25">
      <c r="A14" s="8" t="s">
        <v>133</v>
      </c>
      <c r="B14" s="8"/>
    </row>
    <row r="15" spans="1:18" x14ac:dyDescent="0.25">
      <c r="A15" s="10"/>
      <c r="C15" t="s">
        <v>120</v>
      </c>
      <c r="D15" t="s">
        <v>121</v>
      </c>
      <c r="E15" t="s">
        <v>122</v>
      </c>
      <c r="F15" t="s">
        <v>129</v>
      </c>
      <c r="G15" t="s">
        <v>130</v>
      </c>
      <c r="H15" t="s">
        <v>31</v>
      </c>
      <c r="I15" t="s">
        <v>24</v>
      </c>
      <c r="J15" t="s">
        <v>26</v>
      </c>
      <c r="K15" t="s">
        <v>27</v>
      </c>
      <c r="L15" t="s">
        <v>25</v>
      </c>
      <c r="M15" t="s">
        <v>28</v>
      </c>
      <c r="N15" t="s">
        <v>29</v>
      </c>
      <c r="O15" t="s">
        <v>30</v>
      </c>
      <c r="P15" t="s">
        <v>131</v>
      </c>
    </row>
    <row r="16" spans="1:18" x14ac:dyDescent="0.25">
      <c r="A16" s="1" t="s">
        <v>173</v>
      </c>
      <c r="B16" s="1"/>
    </row>
    <row r="17" spans="1:16" x14ac:dyDescent="0.25">
      <c r="A17" s="1"/>
      <c r="B17" s="16" t="s">
        <v>123</v>
      </c>
      <c r="C17" s="46">
        <f t="shared" ref="C17:N17" si="10">+$M4/12</f>
        <v>1583.3333333333333</v>
      </c>
      <c r="D17" s="46">
        <f t="shared" si="10"/>
        <v>1583.3333333333333</v>
      </c>
      <c r="E17" s="46">
        <f t="shared" si="10"/>
        <v>1583.3333333333333</v>
      </c>
      <c r="F17" s="46">
        <f t="shared" si="10"/>
        <v>1583.3333333333333</v>
      </c>
      <c r="G17" s="46">
        <f t="shared" si="10"/>
        <v>1583.3333333333333</v>
      </c>
      <c r="H17" s="46">
        <f t="shared" si="10"/>
        <v>1583.3333333333333</v>
      </c>
      <c r="I17" s="46">
        <f t="shared" si="10"/>
        <v>1583.3333333333333</v>
      </c>
      <c r="J17" s="46">
        <f t="shared" si="10"/>
        <v>1583.3333333333333</v>
      </c>
      <c r="K17" s="46">
        <f t="shared" si="10"/>
        <v>1583.3333333333333</v>
      </c>
      <c r="L17" s="46">
        <f t="shared" si="10"/>
        <v>1583.3333333333333</v>
      </c>
      <c r="M17" s="46">
        <f t="shared" si="10"/>
        <v>1583.3333333333333</v>
      </c>
      <c r="N17" s="46">
        <f t="shared" si="10"/>
        <v>1583.3333333333333</v>
      </c>
      <c r="O17" s="43">
        <f>SUM(C17:N17)</f>
        <v>19000</v>
      </c>
      <c r="P17" s="12">
        <f t="shared" ref="P17:P23" si="11">+O17-M4</f>
        <v>0</v>
      </c>
    </row>
    <row r="18" spans="1:16" x14ac:dyDescent="0.25">
      <c r="A18" s="1"/>
      <c r="B18" s="16" t="s">
        <v>124</v>
      </c>
      <c r="C18" s="46">
        <f t="shared" ref="C18:N18" si="12">+$M5/12</f>
        <v>283.32147520833331</v>
      </c>
      <c r="D18" s="46">
        <f t="shared" si="12"/>
        <v>283.32147520833331</v>
      </c>
      <c r="E18" s="46">
        <f t="shared" si="12"/>
        <v>283.32147520833331</v>
      </c>
      <c r="F18" s="46">
        <f t="shared" si="12"/>
        <v>283.32147520833331</v>
      </c>
      <c r="G18" s="46">
        <f t="shared" si="12"/>
        <v>283.32147520833331</v>
      </c>
      <c r="H18" s="46">
        <f t="shared" si="12"/>
        <v>283.32147520833331</v>
      </c>
      <c r="I18" s="46">
        <f t="shared" si="12"/>
        <v>283.32147520833331</v>
      </c>
      <c r="J18" s="46">
        <f t="shared" si="12"/>
        <v>283.32147520833331</v>
      </c>
      <c r="K18" s="46">
        <f t="shared" si="12"/>
        <v>283.32147520833331</v>
      </c>
      <c r="L18" s="46">
        <f t="shared" si="12"/>
        <v>283.32147520833331</v>
      </c>
      <c r="M18" s="46">
        <f t="shared" si="12"/>
        <v>283.32147520833331</v>
      </c>
      <c r="N18" s="46">
        <f t="shared" si="12"/>
        <v>283.32147520833331</v>
      </c>
      <c r="O18" s="43">
        <f t="shared" ref="O18:O24" si="13">SUM(C18:N18)</f>
        <v>3399.857702499999</v>
      </c>
      <c r="P18" s="12">
        <f t="shared" si="11"/>
        <v>0</v>
      </c>
    </row>
    <row r="19" spans="1:16" x14ac:dyDescent="0.25">
      <c r="A19" s="1"/>
      <c r="B19" s="16" t="s">
        <v>125</v>
      </c>
      <c r="C19" s="46">
        <f t="shared" ref="C19:N19" si="14">+$M6/12</f>
        <v>0</v>
      </c>
      <c r="D19" s="46">
        <f t="shared" si="14"/>
        <v>0</v>
      </c>
      <c r="E19" s="46">
        <f t="shared" si="14"/>
        <v>0</v>
      </c>
      <c r="F19" s="46">
        <f t="shared" si="14"/>
        <v>0</v>
      </c>
      <c r="G19" s="46">
        <f t="shared" si="14"/>
        <v>0</v>
      </c>
      <c r="H19" s="46">
        <f t="shared" si="14"/>
        <v>0</v>
      </c>
      <c r="I19" s="46">
        <f t="shared" si="14"/>
        <v>0</v>
      </c>
      <c r="J19" s="46">
        <f t="shared" si="14"/>
        <v>0</v>
      </c>
      <c r="K19" s="46">
        <f t="shared" si="14"/>
        <v>0</v>
      </c>
      <c r="L19" s="46">
        <f t="shared" si="14"/>
        <v>0</v>
      </c>
      <c r="M19" s="46">
        <f t="shared" si="14"/>
        <v>0</v>
      </c>
      <c r="N19" s="46">
        <f t="shared" si="14"/>
        <v>0</v>
      </c>
      <c r="O19" s="43">
        <f t="shared" si="13"/>
        <v>0</v>
      </c>
      <c r="P19" s="12">
        <f t="shared" si="11"/>
        <v>0</v>
      </c>
    </row>
    <row r="20" spans="1:16" x14ac:dyDescent="0.25">
      <c r="A20" s="1"/>
      <c r="B20" s="16" t="s">
        <v>126</v>
      </c>
      <c r="C20" s="46">
        <f t="shared" ref="C20:N20" si="15">+$M7/12</f>
        <v>3145.8333333333335</v>
      </c>
      <c r="D20" s="46">
        <f t="shared" si="15"/>
        <v>3145.8333333333335</v>
      </c>
      <c r="E20" s="46">
        <f t="shared" si="15"/>
        <v>3145.8333333333335</v>
      </c>
      <c r="F20" s="46">
        <f t="shared" si="15"/>
        <v>3145.8333333333335</v>
      </c>
      <c r="G20" s="46">
        <f t="shared" si="15"/>
        <v>3145.8333333333335</v>
      </c>
      <c r="H20" s="46">
        <f t="shared" si="15"/>
        <v>3145.8333333333335</v>
      </c>
      <c r="I20" s="46">
        <f t="shared" si="15"/>
        <v>3145.8333333333335</v>
      </c>
      <c r="J20" s="46">
        <f t="shared" si="15"/>
        <v>3145.8333333333335</v>
      </c>
      <c r="K20" s="46">
        <f t="shared" si="15"/>
        <v>3145.8333333333335</v>
      </c>
      <c r="L20" s="46">
        <f t="shared" si="15"/>
        <v>3145.8333333333335</v>
      </c>
      <c r="M20" s="46">
        <f t="shared" si="15"/>
        <v>3145.8333333333335</v>
      </c>
      <c r="N20" s="46">
        <f t="shared" si="15"/>
        <v>3145.8333333333335</v>
      </c>
      <c r="O20" s="43">
        <f t="shared" si="13"/>
        <v>37750</v>
      </c>
      <c r="P20" s="12">
        <f t="shared" si="11"/>
        <v>0</v>
      </c>
    </row>
    <row r="21" spans="1:16" x14ac:dyDescent="0.25">
      <c r="A21" s="1"/>
      <c r="B21" s="16" t="s">
        <v>127</v>
      </c>
      <c r="C21" s="61">
        <f>Revenue!M17*'Master Input Tab'!$B$8</f>
        <v>1610.6807639999997</v>
      </c>
      <c r="D21" s="46">
        <v>0</v>
      </c>
      <c r="E21" s="46">
        <v>0</v>
      </c>
      <c r="F21" s="46">
        <v>0</v>
      </c>
      <c r="G21" s="46">
        <v>0</v>
      </c>
      <c r="H21" s="61">
        <f>Revenue!M4*'Master Input Tab'!$B$8</f>
        <v>9896.5037499999999</v>
      </c>
      <c r="I21" s="46">
        <v>0</v>
      </c>
      <c r="J21" s="46">
        <v>0</v>
      </c>
      <c r="K21" s="46">
        <v>0</v>
      </c>
      <c r="L21" s="61">
        <f>Revenue!M6*'Master Input Tab'!$B$8</f>
        <v>2092.2462959999998</v>
      </c>
      <c r="M21" s="46">
        <v>0</v>
      </c>
      <c r="N21" s="46">
        <v>0</v>
      </c>
      <c r="O21" s="43">
        <f t="shared" si="13"/>
        <v>13599.43081</v>
      </c>
      <c r="P21" s="12">
        <f t="shared" si="11"/>
        <v>0</v>
      </c>
    </row>
    <row r="22" spans="1:16" x14ac:dyDescent="0.25">
      <c r="A22" s="1"/>
      <c r="B22" s="16" t="s">
        <v>166</v>
      </c>
      <c r="C22" s="46">
        <f t="shared" ref="C22:N22" si="16">+$M9/12</f>
        <v>0</v>
      </c>
      <c r="D22" s="46">
        <f t="shared" si="16"/>
        <v>0</v>
      </c>
      <c r="E22" s="46">
        <f t="shared" si="16"/>
        <v>0</v>
      </c>
      <c r="F22" s="46">
        <f t="shared" si="16"/>
        <v>0</v>
      </c>
      <c r="G22" s="46">
        <f t="shared" si="16"/>
        <v>0</v>
      </c>
      <c r="H22" s="46">
        <f t="shared" si="16"/>
        <v>0</v>
      </c>
      <c r="I22" s="46">
        <f t="shared" si="16"/>
        <v>0</v>
      </c>
      <c r="J22" s="46">
        <f t="shared" si="16"/>
        <v>0</v>
      </c>
      <c r="K22" s="46">
        <f t="shared" si="16"/>
        <v>0</v>
      </c>
      <c r="L22" s="46">
        <f t="shared" si="16"/>
        <v>0</v>
      </c>
      <c r="M22" s="46">
        <f t="shared" si="16"/>
        <v>0</v>
      </c>
      <c r="N22" s="46">
        <f t="shared" si="16"/>
        <v>0</v>
      </c>
      <c r="O22" s="43">
        <f t="shared" si="13"/>
        <v>0</v>
      </c>
      <c r="P22" s="12">
        <f t="shared" si="11"/>
        <v>0</v>
      </c>
    </row>
    <row r="23" spans="1:16" x14ac:dyDescent="0.25">
      <c r="A23" s="1"/>
      <c r="B23" s="16" t="s">
        <v>266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f>+M10</f>
        <v>12370.629687499999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3">
        <f t="shared" ref="O23" si="17">SUM(C23:N23)</f>
        <v>12370.629687499999</v>
      </c>
      <c r="P23" s="12">
        <f t="shared" si="11"/>
        <v>0</v>
      </c>
    </row>
    <row r="24" spans="1:16" ht="15.75" thickBot="1" x14ac:dyDescent="0.3">
      <c r="A24" s="1"/>
      <c r="B24" s="16" t="s">
        <v>167</v>
      </c>
      <c r="C24" s="46">
        <f t="shared" ref="C24:N24" si="18">+$M11/12</f>
        <v>0</v>
      </c>
      <c r="D24" s="46">
        <f t="shared" si="18"/>
        <v>0</v>
      </c>
      <c r="E24" s="46">
        <f t="shared" si="18"/>
        <v>0</v>
      </c>
      <c r="F24" s="46">
        <f t="shared" si="18"/>
        <v>0</v>
      </c>
      <c r="G24" s="46">
        <f t="shared" si="18"/>
        <v>0</v>
      </c>
      <c r="H24" s="46">
        <f t="shared" si="18"/>
        <v>0</v>
      </c>
      <c r="I24" s="46">
        <f t="shared" si="18"/>
        <v>0</v>
      </c>
      <c r="J24" s="46">
        <f t="shared" si="18"/>
        <v>0</v>
      </c>
      <c r="K24" s="46">
        <f t="shared" si="18"/>
        <v>0</v>
      </c>
      <c r="L24" s="46">
        <f t="shared" si="18"/>
        <v>0</v>
      </c>
      <c r="M24" s="46">
        <f t="shared" si="18"/>
        <v>0</v>
      </c>
      <c r="N24" s="46">
        <f t="shared" si="18"/>
        <v>0</v>
      </c>
      <c r="O24" s="43">
        <f t="shared" si="13"/>
        <v>0</v>
      </c>
      <c r="P24" s="12">
        <f t="shared" ref="P24" si="19">+O24-M11</f>
        <v>0</v>
      </c>
    </row>
    <row r="25" spans="1:16" ht="15.75" thickBot="1" x14ac:dyDescent="0.3">
      <c r="A25" s="1" t="s">
        <v>174</v>
      </c>
      <c r="B25" s="1"/>
      <c r="C25" s="7">
        <f>ROUND(SUM(C16:C24),5)</f>
        <v>6623.1689100000003</v>
      </c>
      <c r="D25" s="7">
        <f t="shared" ref="D25:P25" si="20">ROUND(SUM(D16:D24),5)</f>
        <v>5012.4881400000004</v>
      </c>
      <c r="E25" s="7">
        <f t="shared" si="20"/>
        <v>5012.4881400000004</v>
      </c>
      <c r="F25" s="7">
        <f t="shared" si="20"/>
        <v>5012.4881400000004</v>
      </c>
      <c r="G25" s="7">
        <f t="shared" si="20"/>
        <v>5012.4881400000004</v>
      </c>
      <c r="H25" s="7">
        <f t="shared" si="20"/>
        <v>27279.621579999999</v>
      </c>
      <c r="I25" s="7">
        <f t="shared" si="20"/>
        <v>5012.4881400000004</v>
      </c>
      <c r="J25" s="7">
        <f t="shared" si="20"/>
        <v>5012.4881400000004</v>
      </c>
      <c r="K25" s="7">
        <f t="shared" si="20"/>
        <v>5012.4881400000004</v>
      </c>
      <c r="L25" s="7">
        <f t="shared" si="20"/>
        <v>7104.7344400000002</v>
      </c>
      <c r="M25" s="7">
        <f t="shared" si="20"/>
        <v>5012.4881400000004</v>
      </c>
      <c r="N25" s="7">
        <f t="shared" si="20"/>
        <v>5012.4881400000004</v>
      </c>
      <c r="O25" s="7">
        <f t="shared" si="20"/>
        <v>86119.9182</v>
      </c>
      <c r="P25" s="7">
        <f t="shared" si="20"/>
        <v>0</v>
      </c>
    </row>
    <row r="26" spans="1:16" ht="15.75" thickTop="1" x14ac:dyDescent="0.25"/>
    <row r="33" spans="3:16" x14ac:dyDescent="0.25">
      <c r="E33" t="s">
        <v>172</v>
      </c>
    </row>
    <row r="35" spans="3:16" x14ac:dyDescent="0.2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3:16" x14ac:dyDescent="0.2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3:16" x14ac:dyDescent="0.2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3:16" x14ac:dyDescent="0.2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3:16" x14ac:dyDescent="0.2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3:16" x14ac:dyDescent="0.2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3:16" x14ac:dyDescent="0.2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3:16" x14ac:dyDescent="0.2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3:16" x14ac:dyDescent="0.2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</sheetData>
  <mergeCells count="1">
    <mergeCell ref="M1:Q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50"/>
  </sheetPr>
  <dimension ref="A1:AA158"/>
  <sheetViews>
    <sheetView zoomScaleNormal="100" workbookViewId="0">
      <pane xSplit="7" ySplit="4" topLeftCell="M5" activePane="bottomRight" state="frozen"/>
      <selection sqref="A1:XFD1048576"/>
      <selection pane="topRight" sqref="A1:XFD1048576"/>
      <selection pane="bottomLeft" sqref="A1:XFD1048576"/>
      <selection pane="bottomRight" activeCell="M5" sqref="M5"/>
    </sheetView>
  </sheetViews>
  <sheetFormatPr defaultRowHeight="15" outlineLevelCol="1" x14ac:dyDescent="0.25"/>
  <cols>
    <col min="1" max="6" width="3" style="119" customWidth="1"/>
    <col min="7" max="7" width="30.140625" style="119" customWidth="1"/>
    <col min="8" max="12" width="15.140625" style="138" hidden="1" customWidth="1" outlineLevel="1"/>
    <col min="13" max="13" width="10.140625" style="109" customWidth="1" collapsed="1"/>
    <col min="14" max="14" width="10.5703125" style="109" customWidth="1"/>
    <col min="15" max="24" width="9.28515625" style="109" bestFit="1" customWidth="1"/>
    <col min="25" max="25" width="12.7109375" style="109" bestFit="1" customWidth="1"/>
    <col min="26" max="26" width="11.28515625" style="113" hidden="1" customWidth="1"/>
    <col min="27" max="27" width="11.5703125" style="94" hidden="1" customWidth="1"/>
    <col min="28" max="16384" width="9.140625" style="94"/>
  </cols>
  <sheetData>
    <row r="1" spans="1:27" ht="15.75" thickBot="1" x14ac:dyDescent="0.3">
      <c r="A1" s="107"/>
      <c r="B1" s="107"/>
      <c r="C1" s="107"/>
      <c r="D1" s="107"/>
      <c r="E1" s="107"/>
      <c r="F1" s="107"/>
      <c r="G1" s="108"/>
      <c r="H1" s="109"/>
      <c r="I1" s="109"/>
      <c r="J1" s="109"/>
      <c r="K1" s="109"/>
      <c r="L1" s="109"/>
      <c r="N1" s="110"/>
      <c r="O1" s="111"/>
      <c r="Q1" s="110"/>
      <c r="R1" s="112"/>
    </row>
    <row r="2" spans="1:27" ht="16.5" thickBot="1" x14ac:dyDescent="0.35">
      <c r="A2" s="114"/>
      <c r="B2" s="114"/>
      <c r="C2" s="114"/>
      <c r="D2" s="114"/>
      <c r="E2" s="114"/>
      <c r="F2" s="114"/>
      <c r="G2" s="114"/>
      <c r="H2" s="115" t="s">
        <v>239</v>
      </c>
      <c r="I2" s="116"/>
      <c r="J2" s="116"/>
      <c r="K2" s="116"/>
      <c r="L2" s="117"/>
      <c r="M2" s="115" t="str">
        <f>'Master Input Tab'!$B$2&amp;" Budget"</f>
        <v>2014 Budget</v>
      </c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</row>
    <row r="3" spans="1:27" x14ac:dyDescent="0.25">
      <c r="A3" s="107"/>
      <c r="B3" s="107"/>
      <c r="C3" s="107"/>
      <c r="D3" s="107"/>
      <c r="E3" s="107"/>
      <c r="F3" s="107"/>
      <c r="G3" s="107"/>
      <c r="H3" s="118"/>
      <c r="I3" s="118"/>
      <c r="J3" s="118"/>
      <c r="K3" s="118"/>
      <c r="L3" s="118"/>
    </row>
    <row r="4" spans="1:27" ht="15.75" thickBot="1" x14ac:dyDescent="0.3">
      <c r="A4" s="107"/>
      <c r="B4" s="107"/>
      <c r="D4" s="107"/>
      <c r="E4" s="107"/>
      <c r="F4" s="107"/>
      <c r="G4" s="107"/>
      <c r="H4" s="120" t="s">
        <v>177</v>
      </c>
      <c r="I4" s="102">
        <f>H4+1</f>
        <v>2015</v>
      </c>
      <c r="J4" s="102">
        <f t="shared" ref="J4:L4" si="0">I4+1</f>
        <v>2016</v>
      </c>
      <c r="K4" s="102">
        <f t="shared" si="0"/>
        <v>2017</v>
      </c>
      <c r="L4" s="102">
        <f t="shared" si="0"/>
        <v>2018</v>
      </c>
      <c r="M4" s="121" t="s">
        <v>120</v>
      </c>
      <c r="N4" s="121" t="s">
        <v>121</v>
      </c>
      <c r="O4" s="121" t="s">
        <v>122</v>
      </c>
      <c r="P4" s="121" t="s">
        <v>129</v>
      </c>
      <c r="Q4" s="121" t="s">
        <v>130</v>
      </c>
      <c r="R4" s="121" t="s">
        <v>31</v>
      </c>
      <c r="S4" s="121" t="s">
        <v>24</v>
      </c>
      <c r="T4" s="121" t="s">
        <v>26</v>
      </c>
      <c r="U4" s="121" t="s">
        <v>27</v>
      </c>
      <c r="V4" s="121" t="s">
        <v>25</v>
      </c>
      <c r="W4" s="121" t="s">
        <v>28</v>
      </c>
      <c r="X4" s="121" t="s">
        <v>29</v>
      </c>
      <c r="Y4" s="122">
        <f>'Master Input Tab'!$B$2</f>
        <v>2014</v>
      </c>
      <c r="Z4" s="123" t="s">
        <v>131</v>
      </c>
      <c r="AA4" s="124" t="s">
        <v>217</v>
      </c>
    </row>
    <row r="5" spans="1:27" ht="16.5" customHeight="1" x14ac:dyDescent="0.25">
      <c r="A5" s="107"/>
      <c r="B5" s="107"/>
      <c r="C5" s="107" t="s">
        <v>138</v>
      </c>
      <c r="D5" s="107"/>
      <c r="E5" s="107"/>
      <c r="F5" s="107"/>
      <c r="G5" s="107"/>
      <c r="H5" s="125"/>
      <c r="I5" s="125"/>
      <c r="J5" s="125"/>
      <c r="K5" s="125"/>
      <c r="L5" s="125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7"/>
      <c r="Z5" s="128"/>
      <c r="AA5" s="129"/>
    </row>
    <row r="6" spans="1:27" x14ac:dyDescent="0.25">
      <c r="A6" s="107"/>
      <c r="B6" s="107"/>
      <c r="C6" s="107"/>
      <c r="E6" s="107"/>
      <c r="F6" s="107" t="s">
        <v>139</v>
      </c>
      <c r="G6" s="107"/>
      <c r="H6" s="118">
        <f>Revenue!M4</f>
        <v>247412.59374999997</v>
      </c>
      <c r="I6" s="118">
        <f>Revenue!N4</f>
        <v>251123.78265624994</v>
      </c>
      <c r="J6" s="118">
        <f>Revenue!O4</f>
        <v>254890.63939609367</v>
      </c>
      <c r="K6" s="118">
        <f>Revenue!P4</f>
        <v>258713.99898703504</v>
      </c>
      <c r="L6" s="118">
        <f>Revenue!Q4</f>
        <v>262594.70897184056</v>
      </c>
      <c r="M6" s="118">
        <f>Revenue!C30</f>
        <v>247412.59374999997</v>
      </c>
      <c r="N6" s="118">
        <f>Revenue!D30</f>
        <v>0</v>
      </c>
      <c r="O6" s="118">
        <f>Revenue!E30</f>
        <v>0</v>
      </c>
      <c r="P6" s="118">
        <f>Revenue!F30</f>
        <v>0</v>
      </c>
      <c r="Q6" s="118">
        <f>Revenue!G30</f>
        <v>0</v>
      </c>
      <c r="R6" s="118">
        <f>Revenue!H30</f>
        <v>0</v>
      </c>
      <c r="S6" s="118">
        <f>Revenue!I30</f>
        <v>0</v>
      </c>
      <c r="T6" s="118">
        <f>Revenue!J30</f>
        <v>0</v>
      </c>
      <c r="U6" s="118">
        <f>Revenue!K30</f>
        <v>0</v>
      </c>
      <c r="V6" s="118">
        <f>Revenue!L30</f>
        <v>0</v>
      </c>
      <c r="W6" s="118">
        <f>Revenue!M30</f>
        <v>0</v>
      </c>
      <c r="X6" s="118">
        <f>Revenue!N30</f>
        <v>0</v>
      </c>
      <c r="Y6" s="130">
        <f>SUM(M6:X6)</f>
        <v>247412.59374999997</v>
      </c>
      <c r="Z6" s="113">
        <f>ROUND(Y6-H6,0)</f>
        <v>0</v>
      </c>
      <c r="AA6" s="100">
        <f>+'General Fund'!Y6+'Road Fund'!Y6+'Lake Fund'!Y6+'Emergency Fund'!Y6-Y6</f>
        <v>0</v>
      </c>
    </row>
    <row r="7" spans="1:27" x14ac:dyDescent="0.25">
      <c r="A7" s="107"/>
      <c r="B7" s="107"/>
      <c r="C7" s="107"/>
      <c r="E7" s="107"/>
      <c r="F7" s="107" t="s">
        <v>140</v>
      </c>
      <c r="G7" s="107"/>
      <c r="H7" s="118">
        <f>Revenue!M5</f>
        <v>2250</v>
      </c>
      <c r="I7" s="118">
        <f>Revenue!N5</f>
        <v>2250</v>
      </c>
      <c r="J7" s="118">
        <f>Revenue!O5</f>
        <v>2250</v>
      </c>
      <c r="K7" s="118">
        <f>Revenue!P5</f>
        <v>2250</v>
      </c>
      <c r="L7" s="118">
        <f>Revenue!Q5</f>
        <v>2250</v>
      </c>
      <c r="M7" s="118">
        <f>Revenue!C31</f>
        <v>187.5</v>
      </c>
      <c r="N7" s="118">
        <f>Revenue!D31</f>
        <v>187.5</v>
      </c>
      <c r="O7" s="118">
        <f>Revenue!E31</f>
        <v>187.5</v>
      </c>
      <c r="P7" s="118">
        <f>Revenue!F31</f>
        <v>187.5</v>
      </c>
      <c r="Q7" s="118">
        <f>Revenue!G31</f>
        <v>187.5</v>
      </c>
      <c r="R7" s="118">
        <f>Revenue!H31</f>
        <v>187.5</v>
      </c>
      <c r="S7" s="118">
        <f>Revenue!I31</f>
        <v>187.5</v>
      </c>
      <c r="T7" s="118">
        <f>Revenue!J31</f>
        <v>187.5</v>
      </c>
      <c r="U7" s="118">
        <f>Revenue!K31</f>
        <v>187.5</v>
      </c>
      <c r="V7" s="118">
        <f>Revenue!L31</f>
        <v>187.5</v>
      </c>
      <c r="W7" s="118">
        <f>Revenue!M31</f>
        <v>187.5</v>
      </c>
      <c r="X7" s="118">
        <f>Revenue!N31</f>
        <v>187.5</v>
      </c>
      <c r="Y7" s="130">
        <f t="shared" ref="Y7:Y70" si="1">SUM(M7:X7)</f>
        <v>2250</v>
      </c>
      <c r="Z7" s="113">
        <f t="shared" ref="Z7:Z26" si="2">ROUND(Y7-H7,0)</f>
        <v>0</v>
      </c>
      <c r="AA7" s="100">
        <f>+'General Fund'!Y7+'Road Fund'!Y7+'Lake Fund'!Y7+'Emergency Fund'!Y7-Y7</f>
        <v>0</v>
      </c>
    </row>
    <row r="8" spans="1:27" x14ac:dyDescent="0.25">
      <c r="A8" s="107"/>
      <c r="B8" s="107"/>
      <c r="C8" s="107"/>
      <c r="E8" s="107"/>
      <c r="F8" s="107" t="s">
        <v>141</v>
      </c>
      <c r="G8" s="107"/>
      <c r="H8" s="118">
        <f>Revenue!M6</f>
        <v>52306.157399999996</v>
      </c>
      <c r="I8" s="118">
        <f>Revenue!N6</f>
        <v>53090.749760999992</v>
      </c>
      <c r="J8" s="118">
        <f>Revenue!O6</f>
        <v>53887.111007414984</v>
      </c>
      <c r="K8" s="118">
        <f>Revenue!P6</f>
        <v>54695.4176725262</v>
      </c>
      <c r="L8" s="118">
        <f>Revenue!Q6</f>
        <v>55515.848937614086</v>
      </c>
      <c r="M8" s="118">
        <f>Revenue!C32</f>
        <v>0</v>
      </c>
      <c r="N8" s="118">
        <f>Revenue!D32</f>
        <v>0</v>
      </c>
      <c r="O8" s="118">
        <f>Revenue!E32</f>
        <v>0</v>
      </c>
      <c r="P8" s="118">
        <f>Revenue!F32</f>
        <v>0</v>
      </c>
      <c r="Q8" s="118">
        <f>Revenue!G32</f>
        <v>0</v>
      </c>
      <c r="R8" s="118">
        <f>Revenue!H32</f>
        <v>0</v>
      </c>
      <c r="S8" s="118">
        <f>Revenue!I32</f>
        <v>52306.157399999996</v>
      </c>
      <c r="T8" s="118">
        <f>Revenue!J32</f>
        <v>0</v>
      </c>
      <c r="U8" s="118">
        <f>Revenue!K32</f>
        <v>0</v>
      </c>
      <c r="V8" s="118">
        <f>Revenue!L32</f>
        <v>0</v>
      </c>
      <c r="W8" s="118">
        <f>Revenue!M32</f>
        <v>0</v>
      </c>
      <c r="X8" s="118">
        <f>Revenue!N32</f>
        <v>0</v>
      </c>
      <c r="Y8" s="130">
        <f t="shared" si="1"/>
        <v>52306.157399999996</v>
      </c>
      <c r="Z8" s="113">
        <f t="shared" si="2"/>
        <v>0</v>
      </c>
      <c r="AA8" s="100">
        <f>+'General Fund'!Y8+'Road Fund'!Y8+'Lake Fund'!Y8+'Emergency Fund'!Y8-Y8</f>
        <v>0</v>
      </c>
    </row>
    <row r="9" spans="1:27" x14ac:dyDescent="0.25">
      <c r="A9" s="107"/>
      <c r="B9" s="107"/>
      <c r="C9" s="107"/>
      <c r="E9" s="107"/>
      <c r="F9" s="107" t="s">
        <v>142</v>
      </c>
      <c r="G9" s="107"/>
      <c r="H9" s="118">
        <f>Revenue!M7</f>
        <v>0</v>
      </c>
      <c r="I9" s="118">
        <f>Revenue!N7</f>
        <v>0</v>
      </c>
      <c r="J9" s="118">
        <f>Revenue!O7</f>
        <v>0</v>
      </c>
      <c r="K9" s="118">
        <f>Revenue!P7</f>
        <v>0</v>
      </c>
      <c r="L9" s="118">
        <f>Revenue!Q7</f>
        <v>0</v>
      </c>
      <c r="M9" s="118">
        <f>Revenue!C33</f>
        <v>0</v>
      </c>
      <c r="N9" s="118">
        <f>Revenue!D33</f>
        <v>0</v>
      </c>
      <c r="O9" s="118">
        <f>Revenue!E33</f>
        <v>0</v>
      </c>
      <c r="P9" s="118">
        <f>Revenue!F33</f>
        <v>0</v>
      </c>
      <c r="Q9" s="118">
        <f>Revenue!G33</f>
        <v>0</v>
      </c>
      <c r="R9" s="118">
        <f>Revenue!H33</f>
        <v>0</v>
      </c>
      <c r="S9" s="118">
        <f>Revenue!I33</f>
        <v>0</v>
      </c>
      <c r="T9" s="118">
        <f>Revenue!J33</f>
        <v>0</v>
      </c>
      <c r="U9" s="118">
        <f>Revenue!K33</f>
        <v>0</v>
      </c>
      <c r="V9" s="118">
        <f>Revenue!L33</f>
        <v>0</v>
      </c>
      <c r="W9" s="118">
        <f>Revenue!M33</f>
        <v>0</v>
      </c>
      <c r="X9" s="118">
        <f>Revenue!N33</f>
        <v>0</v>
      </c>
      <c r="Y9" s="130">
        <f t="shared" si="1"/>
        <v>0</v>
      </c>
      <c r="Z9" s="113">
        <f t="shared" si="2"/>
        <v>0</v>
      </c>
      <c r="AA9" s="100">
        <f>+'General Fund'!Y9+'Road Fund'!Y9+'Lake Fund'!Y9+'Emergency Fund'!Y9-Y9</f>
        <v>0</v>
      </c>
    </row>
    <row r="10" spans="1:27" x14ac:dyDescent="0.25">
      <c r="A10" s="107"/>
      <c r="B10" s="107"/>
      <c r="C10" s="107"/>
      <c r="E10" s="107"/>
      <c r="F10" s="107" t="s">
        <v>143</v>
      </c>
      <c r="G10" s="107"/>
      <c r="H10" s="118">
        <f>Revenue!M8</f>
        <v>0</v>
      </c>
      <c r="I10" s="118">
        <f>Revenue!N8</f>
        <v>0</v>
      </c>
      <c r="J10" s="118">
        <f>Revenue!O8</f>
        <v>0</v>
      </c>
      <c r="K10" s="118">
        <f>Revenue!P8</f>
        <v>0</v>
      </c>
      <c r="L10" s="118">
        <f>Revenue!Q8</f>
        <v>0</v>
      </c>
      <c r="M10" s="118">
        <f>Revenue!C34</f>
        <v>0</v>
      </c>
      <c r="N10" s="118">
        <f>Revenue!D34</f>
        <v>0</v>
      </c>
      <c r="O10" s="118">
        <f>Revenue!E34</f>
        <v>0</v>
      </c>
      <c r="P10" s="118">
        <f>Revenue!F34</f>
        <v>0</v>
      </c>
      <c r="Q10" s="118">
        <f>Revenue!G34</f>
        <v>0</v>
      </c>
      <c r="R10" s="118">
        <f>Revenue!H34</f>
        <v>0</v>
      </c>
      <c r="S10" s="118">
        <f>Revenue!I34</f>
        <v>0</v>
      </c>
      <c r="T10" s="118">
        <f>Revenue!J34</f>
        <v>0</v>
      </c>
      <c r="U10" s="118">
        <f>Revenue!K34</f>
        <v>0</v>
      </c>
      <c r="V10" s="118">
        <f>Revenue!L34</f>
        <v>0</v>
      </c>
      <c r="W10" s="118">
        <f>Revenue!M34</f>
        <v>0</v>
      </c>
      <c r="X10" s="118">
        <f>Revenue!N34</f>
        <v>0</v>
      </c>
      <c r="Y10" s="130">
        <f t="shared" si="1"/>
        <v>0</v>
      </c>
      <c r="Z10" s="113">
        <f t="shared" si="2"/>
        <v>0</v>
      </c>
      <c r="AA10" s="100">
        <f>+'General Fund'!Y10+'Road Fund'!Y10+'Lake Fund'!Y10+'Emergency Fund'!Y10-Y10</f>
        <v>0</v>
      </c>
    </row>
    <row r="11" spans="1:27" x14ac:dyDescent="0.25">
      <c r="A11" s="107"/>
      <c r="B11" s="107"/>
      <c r="C11" s="107"/>
      <c r="E11" s="107"/>
      <c r="F11" s="107" t="s">
        <v>144</v>
      </c>
      <c r="G11" s="107"/>
      <c r="H11" s="118">
        <f>Revenue!M9</f>
        <v>0</v>
      </c>
      <c r="I11" s="118">
        <f>Revenue!N9</f>
        <v>0</v>
      </c>
      <c r="J11" s="118">
        <f>Revenue!O9</f>
        <v>0</v>
      </c>
      <c r="K11" s="118">
        <f>Revenue!P9</f>
        <v>0</v>
      </c>
      <c r="L11" s="118">
        <f>Revenue!Q9</f>
        <v>0</v>
      </c>
      <c r="M11" s="118">
        <f>Revenue!C35</f>
        <v>0</v>
      </c>
      <c r="N11" s="118">
        <f>Revenue!D35</f>
        <v>0</v>
      </c>
      <c r="O11" s="118">
        <f>Revenue!E35</f>
        <v>0</v>
      </c>
      <c r="P11" s="118">
        <f>Revenue!F35</f>
        <v>0</v>
      </c>
      <c r="Q11" s="118">
        <f>Revenue!G35</f>
        <v>0</v>
      </c>
      <c r="R11" s="118">
        <f>Revenue!H35</f>
        <v>0</v>
      </c>
      <c r="S11" s="118">
        <f>Revenue!I35</f>
        <v>0</v>
      </c>
      <c r="T11" s="118">
        <f>Revenue!J35</f>
        <v>0</v>
      </c>
      <c r="U11" s="118">
        <f>Revenue!K35</f>
        <v>0</v>
      </c>
      <c r="V11" s="118">
        <f>Revenue!L35</f>
        <v>0</v>
      </c>
      <c r="W11" s="118">
        <f>Revenue!M35</f>
        <v>0</v>
      </c>
      <c r="X11" s="118">
        <f>Revenue!N35</f>
        <v>0</v>
      </c>
      <c r="Y11" s="130">
        <f t="shared" si="1"/>
        <v>0</v>
      </c>
      <c r="Z11" s="113">
        <f t="shared" si="2"/>
        <v>0</v>
      </c>
      <c r="AA11" s="100">
        <f>+'General Fund'!Y11+'Road Fund'!Y11+'Lake Fund'!Y11+'Emergency Fund'!Y11-Y11</f>
        <v>0</v>
      </c>
    </row>
    <row r="12" spans="1:27" x14ac:dyDescent="0.25">
      <c r="A12" s="107"/>
      <c r="B12" s="107"/>
      <c r="C12" s="107"/>
      <c r="E12" s="107"/>
      <c r="F12" s="107" t="s">
        <v>145</v>
      </c>
      <c r="G12" s="107"/>
      <c r="H12" s="118">
        <f>Revenue!M10</f>
        <v>1250</v>
      </c>
      <c r="I12" s="118">
        <f>Revenue!N10</f>
        <v>1250</v>
      </c>
      <c r="J12" s="118">
        <f>Revenue!O10</f>
        <v>1250</v>
      </c>
      <c r="K12" s="118">
        <f>Revenue!P10</f>
        <v>1250</v>
      </c>
      <c r="L12" s="118">
        <f>Revenue!Q10</f>
        <v>1250</v>
      </c>
      <c r="M12" s="118">
        <f>Revenue!C36</f>
        <v>0</v>
      </c>
      <c r="N12" s="118">
        <f>Revenue!D36</f>
        <v>0</v>
      </c>
      <c r="O12" s="118">
        <f>Revenue!E36</f>
        <v>0</v>
      </c>
      <c r="P12" s="118">
        <f>Revenue!F36</f>
        <v>0</v>
      </c>
      <c r="Q12" s="118">
        <f>Revenue!G36</f>
        <v>312.5</v>
      </c>
      <c r="R12" s="118">
        <f>Revenue!H36</f>
        <v>312.5</v>
      </c>
      <c r="S12" s="118">
        <f>Revenue!I36</f>
        <v>312.5</v>
      </c>
      <c r="T12" s="118">
        <f>Revenue!J36</f>
        <v>312.5</v>
      </c>
      <c r="U12" s="118">
        <f>Revenue!K36</f>
        <v>0</v>
      </c>
      <c r="V12" s="118">
        <f>Revenue!L36</f>
        <v>0</v>
      </c>
      <c r="W12" s="118">
        <f>Revenue!M36</f>
        <v>0</v>
      </c>
      <c r="X12" s="118">
        <f>Revenue!N36</f>
        <v>0</v>
      </c>
      <c r="Y12" s="130">
        <f t="shared" si="1"/>
        <v>1250</v>
      </c>
      <c r="Z12" s="113">
        <f t="shared" si="2"/>
        <v>0</v>
      </c>
      <c r="AA12" s="100">
        <f>+'General Fund'!Y12+'Road Fund'!Y12+'Lake Fund'!Y12+'Emergency Fund'!Y12-Y12</f>
        <v>0</v>
      </c>
    </row>
    <row r="13" spans="1:27" x14ac:dyDescent="0.25">
      <c r="A13" s="107"/>
      <c r="B13" s="107"/>
      <c r="C13" s="107"/>
      <c r="E13" s="107"/>
      <c r="F13" s="107" t="s">
        <v>146</v>
      </c>
      <c r="G13" s="107"/>
      <c r="H13" s="118">
        <f>Revenue!M11</f>
        <v>4650</v>
      </c>
      <c r="I13" s="118">
        <f>Revenue!N11</f>
        <v>4650</v>
      </c>
      <c r="J13" s="118">
        <f>Revenue!O11</f>
        <v>4650</v>
      </c>
      <c r="K13" s="118">
        <f>Revenue!P11</f>
        <v>4650</v>
      </c>
      <c r="L13" s="118">
        <f>Revenue!Q11</f>
        <v>4650</v>
      </c>
      <c r="M13" s="118">
        <f>Revenue!C37</f>
        <v>0</v>
      </c>
      <c r="N13" s="118">
        <f>Revenue!D37</f>
        <v>0</v>
      </c>
      <c r="O13" s="118">
        <f>Revenue!E37</f>
        <v>0</v>
      </c>
      <c r="P13" s="118">
        <f>Revenue!F37</f>
        <v>0</v>
      </c>
      <c r="Q13" s="118">
        <f>Revenue!G37</f>
        <v>1162.5</v>
      </c>
      <c r="R13" s="118">
        <f>Revenue!H37</f>
        <v>1162.5</v>
      </c>
      <c r="S13" s="118">
        <f>Revenue!I37</f>
        <v>1162.5</v>
      </c>
      <c r="T13" s="118">
        <f>Revenue!J37</f>
        <v>1162.5</v>
      </c>
      <c r="U13" s="118">
        <f>Revenue!K37</f>
        <v>0</v>
      </c>
      <c r="V13" s="118">
        <f>Revenue!L37</f>
        <v>0</v>
      </c>
      <c r="W13" s="118">
        <f>Revenue!M37</f>
        <v>0</v>
      </c>
      <c r="X13" s="118">
        <f>Revenue!N37</f>
        <v>0</v>
      </c>
      <c r="Y13" s="130">
        <f t="shared" si="1"/>
        <v>4650</v>
      </c>
      <c r="Z13" s="113">
        <f t="shared" si="2"/>
        <v>0</v>
      </c>
      <c r="AA13" s="100">
        <f>+'General Fund'!Y13+'Road Fund'!Y13+'Lake Fund'!Y13+'Emergency Fund'!Y13-Y13</f>
        <v>0</v>
      </c>
    </row>
    <row r="14" spans="1:27" x14ac:dyDescent="0.25">
      <c r="A14" s="107"/>
      <c r="B14" s="107"/>
      <c r="C14" s="107"/>
      <c r="E14" s="107"/>
      <c r="F14" s="107" t="s">
        <v>147</v>
      </c>
      <c r="G14" s="107"/>
      <c r="H14" s="118">
        <f>Revenue!M12</f>
        <v>300</v>
      </c>
      <c r="I14" s="118">
        <f>Revenue!N12</f>
        <v>300</v>
      </c>
      <c r="J14" s="118">
        <f>Revenue!O12</f>
        <v>300</v>
      </c>
      <c r="K14" s="118">
        <f>Revenue!P12</f>
        <v>300</v>
      </c>
      <c r="L14" s="118">
        <f>Revenue!Q12</f>
        <v>300</v>
      </c>
      <c r="M14" s="118">
        <f>Revenue!C38</f>
        <v>0</v>
      </c>
      <c r="N14" s="118">
        <f>Revenue!D38</f>
        <v>0</v>
      </c>
      <c r="O14" s="118">
        <f>Revenue!E38</f>
        <v>0</v>
      </c>
      <c r="P14" s="118">
        <f>Revenue!F38</f>
        <v>0</v>
      </c>
      <c r="Q14" s="118">
        <f>Revenue!G38</f>
        <v>75</v>
      </c>
      <c r="R14" s="118">
        <f>Revenue!H38</f>
        <v>75</v>
      </c>
      <c r="S14" s="118">
        <f>Revenue!I38</f>
        <v>75</v>
      </c>
      <c r="T14" s="118">
        <f>Revenue!J38</f>
        <v>75</v>
      </c>
      <c r="U14" s="118">
        <f>Revenue!K38</f>
        <v>0</v>
      </c>
      <c r="V14" s="118">
        <f>Revenue!L38</f>
        <v>0</v>
      </c>
      <c r="W14" s="118">
        <f>Revenue!M38</f>
        <v>0</v>
      </c>
      <c r="X14" s="118">
        <f>Revenue!N38</f>
        <v>0</v>
      </c>
      <c r="Y14" s="130">
        <f t="shared" si="1"/>
        <v>300</v>
      </c>
      <c r="Z14" s="113">
        <f t="shared" si="2"/>
        <v>0</v>
      </c>
      <c r="AA14" s="100">
        <f>+'General Fund'!Y14+'Road Fund'!Y14+'Lake Fund'!Y14+'Emergency Fund'!Y14-Y14</f>
        <v>0</v>
      </c>
    </row>
    <row r="15" spans="1:27" x14ac:dyDescent="0.25">
      <c r="A15" s="107"/>
      <c r="B15" s="107"/>
      <c r="C15" s="107"/>
      <c r="E15" s="107"/>
      <c r="F15" s="107" t="s">
        <v>148</v>
      </c>
      <c r="G15" s="107"/>
      <c r="H15" s="118">
        <f>Revenue!M13</f>
        <v>1000</v>
      </c>
      <c r="I15" s="118">
        <f>Revenue!N13</f>
        <v>1000</v>
      </c>
      <c r="J15" s="118">
        <f>Revenue!O13</f>
        <v>1000</v>
      </c>
      <c r="K15" s="118">
        <f>Revenue!P13</f>
        <v>1000</v>
      </c>
      <c r="L15" s="118">
        <f>Revenue!Q13</f>
        <v>1000</v>
      </c>
      <c r="M15" s="118">
        <f>Revenue!C39</f>
        <v>83.333333333333329</v>
      </c>
      <c r="N15" s="118">
        <f>Revenue!D39</f>
        <v>83.333333333333329</v>
      </c>
      <c r="O15" s="118">
        <f>Revenue!E39</f>
        <v>83.333333333333329</v>
      </c>
      <c r="P15" s="118">
        <f>Revenue!F39</f>
        <v>83.333333333333329</v>
      </c>
      <c r="Q15" s="118">
        <f>Revenue!G39</f>
        <v>83.333333333333329</v>
      </c>
      <c r="R15" s="118">
        <f>Revenue!H39</f>
        <v>83.333333333333329</v>
      </c>
      <c r="S15" s="118">
        <f>Revenue!I39</f>
        <v>83.333333333333329</v>
      </c>
      <c r="T15" s="118">
        <f>Revenue!J39</f>
        <v>83.333333333333329</v>
      </c>
      <c r="U15" s="118">
        <f>Revenue!K39</f>
        <v>83.333333333333329</v>
      </c>
      <c r="V15" s="118">
        <f>Revenue!L39</f>
        <v>83.333333333333329</v>
      </c>
      <c r="W15" s="118">
        <f>Revenue!M39</f>
        <v>83.333333333333329</v>
      </c>
      <c r="X15" s="118">
        <f>Revenue!N39</f>
        <v>83.333333333333329</v>
      </c>
      <c r="Y15" s="130">
        <f t="shared" si="1"/>
        <v>1000.0000000000001</v>
      </c>
      <c r="Z15" s="113">
        <f t="shared" si="2"/>
        <v>0</v>
      </c>
      <c r="AA15" s="100">
        <f>+'General Fund'!Y15+'Road Fund'!Y15+'Lake Fund'!Y15+'Emergency Fund'!Y15-Y15</f>
        <v>0</v>
      </c>
    </row>
    <row r="16" spans="1:27" x14ac:dyDescent="0.25">
      <c r="A16" s="107"/>
      <c r="B16" s="107"/>
      <c r="C16" s="107"/>
      <c r="E16" s="107"/>
      <c r="F16" s="107" t="s">
        <v>149</v>
      </c>
      <c r="G16" s="107"/>
      <c r="H16" s="118">
        <f>Revenue!M14</f>
        <v>0</v>
      </c>
      <c r="I16" s="118">
        <f>Revenue!N14</f>
        <v>0</v>
      </c>
      <c r="J16" s="118">
        <f>Revenue!O14</f>
        <v>0</v>
      </c>
      <c r="K16" s="118">
        <f>Revenue!P14</f>
        <v>0</v>
      </c>
      <c r="L16" s="118">
        <f>Revenue!Q14</f>
        <v>0</v>
      </c>
      <c r="M16" s="118">
        <f>Revenue!C40</f>
        <v>0</v>
      </c>
      <c r="N16" s="118">
        <f>Revenue!D40</f>
        <v>0</v>
      </c>
      <c r="O16" s="118">
        <f>Revenue!E40</f>
        <v>0</v>
      </c>
      <c r="P16" s="118">
        <f>Revenue!F40</f>
        <v>0</v>
      </c>
      <c r="Q16" s="118">
        <f>Revenue!G40</f>
        <v>0</v>
      </c>
      <c r="R16" s="118">
        <f>Revenue!H40</f>
        <v>0</v>
      </c>
      <c r="S16" s="118">
        <f>Revenue!I40</f>
        <v>0</v>
      </c>
      <c r="T16" s="118">
        <f>Revenue!J40</f>
        <v>0</v>
      </c>
      <c r="U16" s="118">
        <f>Revenue!K40</f>
        <v>0</v>
      </c>
      <c r="V16" s="118">
        <f>Revenue!L40</f>
        <v>0</v>
      </c>
      <c r="W16" s="118">
        <f>Revenue!M40</f>
        <v>0</v>
      </c>
      <c r="X16" s="118">
        <f>Revenue!N40</f>
        <v>0</v>
      </c>
      <c r="Y16" s="130">
        <f t="shared" si="1"/>
        <v>0</v>
      </c>
      <c r="Z16" s="113">
        <f t="shared" si="2"/>
        <v>0</v>
      </c>
      <c r="AA16" s="100">
        <f>+'General Fund'!Y16+'Road Fund'!Y16+'Lake Fund'!Y16+'Emergency Fund'!Y16-Y16</f>
        <v>0</v>
      </c>
    </row>
    <row r="17" spans="1:27" x14ac:dyDescent="0.25">
      <c r="A17" s="107"/>
      <c r="B17" s="107"/>
      <c r="C17" s="107"/>
      <c r="E17" s="107"/>
      <c r="F17" s="107" t="s">
        <v>150</v>
      </c>
      <c r="G17" s="107"/>
      <c r="H17" s="118">
        <f>Revenue!M15</f>
        <v>600</v>
      </c>
      <c r="I17" s="118">
        <f>Revenue!N15</f>
        <v>600</v>
      </c>
      <c r="J17" s="118">
        <f>Revenue!O15</f>
        <v>600</v>
      </c>
      <c r="K17" s="118">
        <f>Revenue!P15</f>
        <v>600</v>
      </c>
      <c r="L17" s="118">
        <f>Revenue!Q15</f>
        <v>600</v>
      </c>
      <c r="M17" s="118">
        <f>Revenue!C41</f>
        <v>50</v>
      </c>
      <c r="N17" s="118">
        <f>Revenue!D41</f>
        <v>50</v>
      </c>
      <c r="O17" s="118">
        <f>Revenue!E41</f>
        <v>50</v>
      </c>
      <c r="P17" s="118">
        <f>Revenue!F41</f>
        <v>50</v>
      </c>
      <c r="Q17" s="118">
        <f>Revenue!G41</f>
        <v>50</v>
      </c>
      <c r="R17" s="118">
        <f>Revenue!H41</f>
        <v>50</v>
      </c>
      <c r="S17" s="118">
        <f>Revenue!I41</f>
        <v>50</v>
      </c>
      <c r="T17" s="118">
        <f>Revenue!J41</f>
        <v>50</v>
      </c>
      <c r="U17" s="118">
        <f>Revenue!K41</f>
        <v>50</v>
      </c>
      <c r="V17" s="118">
        <f>Revenue!L41</f>
        <v>50</v>
      </c>
      <c r="W17" s="118">
        <f>Revenue!M41</f>
        <v>50</v>
      </c>
      <c r="X17" s="118">
        <f>Revenue!N41</f>
        <v>50</v>
      </c>
      <c r="Y17" s="130">
        <f t="shared" si="1"/>
        <v>600</v>
      </c>
      <c r="Z17" s="113">
        <f t="shared" si="2"/>
        <v>0</v>
      </c>
      <c r="AA17" s="100">
        <f>+'General Fund'!Y17+'Road Fund'!Y17+'Lake Fund'!Y17+'Emergency Fund'!Y17-Y17</f>
        <v>0</v>
      </c>
    </row>
    <row r="18" spans="1:27" x14ac:dyDescent="0.25">
      <c r="A18" s="107"/>
      <c r="B18" s="107"/>
      <c r="C18" s="107"/>
      <c r="E18" s="107"/>
      <c r="F18" s="107" t="s">
        <v>151</v>
      </c>
      <c r="G18" s="107"/>
      <c r="H18" s="118">
        <f>Revenue!M16</f>
        <v>3371</v>
      </c>
      <c r="I18" s="118">
        <f>Revenue!N16</f>
        <v>3371</v>
      </c>
      <c r="J18" s="118">
        <f>Revenue!O16</f>
        <v>3371</v>
      </c>
      <c r="K18" s="118">
        <f>Revenue!P16</f>
        <v>3371</v>
      </c>
      <c r="L18" s="118">
        <f>Revenue!Q16</f>
        <v>3371</v>
      </c>
      <c r="M18" s="118">
        <f>Revenue!C42</f>
        <v>0</v>
      </c>
      <c r="N18" s="118">
        <f>Revenue!D42</f>
        <v>0</v>
      </c>
      <c r="O18" s="118">
        <f>Revenue!E42</f>
        <v>0</v>
      </c>
      <c r="P18" s="118">
        <f>Revenue!F42</f>
        <v>0</v>
      </c>
      <c r="Q18" s="118">
        <f>Revenue!G42</f>
        <v>842.75</v>
      </c>
      <c r="R18" s="118">
        <f>Revenue!H42</f>
        <v>842.75</v>
      </c>
      <c r="S18" s="118">
        <f>Revenue!I42</f>
        <v>842.75</v>
      </c>
      <c r="T18" s="118">
        <f>Revenue!J42</f>
        <v>842.75</v>
      </c>
      <c r="U18" s="118">
        <f>Revenue!K42</f>
        <v>0</v>
      </c>
      <c r="V18" s="118">
        <f>Revenue!L42</f>
        <v>0</v>
      </c>
      <c r="W18" s="118">
        <f>Revenue!M42</f>
        <v>0</v>
      </c>
      <c r="X18" s="118">
        <f>Revenue!N42</f>
        <v>0</v>
      </c>
      <c r="Y18" s="130">
        <f t="shared" si="1"/>
        <v>3371</v>
      </c>
      <c r="Z18" s="113">
        <f t="shared" si="2"/>
        <v>0</v>
      </c>
      <c r="AA18" s="100">
        <f>+'General Fund'!Y18+'Road Fund'!Y18+'Lake Fund'!Y18+'Emergency Fund'!Y18-Y18</f>
        <v>0</v>
      </c>
    </row>
    <row r="19" spans="1:27" x14ac:dyDescent="0.25">
      <c r="A19" s="107"/>
      <c r="B19" s="107"/>
      <c r="C19" s="107"/>
      <c r="E19" s="107"/>
      <c r="F19" s="107" t="s">
        <v>152</v>
      </c>
      <c r="G19" s="107"/>
      <c r="H19" s="118">
        <f>Revenue!M17</f>
        <v>40267.01909999999</v>
      </c>
      <c r="I19" s="118">
        <f>Revenue!N17</f>
        <v>40871.024386499987</v>
      </c>
      <c r="J19" s="118">
        <f>Revenue!O17</f>
        <v>41484.089752297485</v>
      </c>
      <c r="K19" s="118">
        <f>Revenue!P17</f>
        <v>42106.351098581945</v>
      </c>
      <c r="L19" s="118">
        <f>Revenue!Q17</f>
        <v>42737.94636506067</v>
      </c>
      <c r="M19" s="118">
        <f>Revenue!C43</f>
        <v>0</v>
      </c>
      <c r="N19" s="118">
        <f>Revenue!D43</f>
        <v>0</v>
      </c>
      <c r="O19" s="118">
        <f>Revenue!E43</f>
        <v>0</v>
      </c>
      <c r="P19" s="118">
        <f>Revenue!F43</f>
        <v>0</v>
      </c>
      <c r="Q19" s="118">
        <f>Revenue!G43</f>
        <v>0</v>
      </c>
      <c r="R19" s="118">
        <f>Revenue!H43</f>
        <v>0</v>
      </c>
      <c r="S19" s="118">
        <f>Revenue!I43</f>
        <v>0</v>
      </c>
      <c r="T19" s="118">
        <f>Revenue!J43</f>
        <v>0</v>
      </c>
      <c r="U19" s="118">
        <f>Revenue!K43</f>
        <v>0</v>
      </c>
      <c r="V19" s="118">
        <f>Revenue!L43</f>
        <v>40267.01909999999</v>
      </c>
      <c r="W19" s="118">
        <f>Revenue!M43</f>
        <v>0</v>
      </c>
      <c r="X19" s="118">
        <f>Revenue!N43</f>
        <v>0</v>
      </c>
      <c r="Y19" s="130">
        <f t="shared" si="1"/>
        <v>40267.01909999999</v>
      </c>
      <c r="Z19" s="113">
        <f t="shared" si="2"/>
        <v>0</v>
      </c>
      <c r="AA19" s="100">
        <f>+'General Fund'!Y19+'Road Fund'!Y19+'Lake Fund'!Y19+'Emergency Fund'!Y19-Y19</f>
        <v>0</v>
      </c>
    </row>
    <row r="20" spans="1:27" x14ac:dyDescent="0.25">
      <c r="A20" s="107"/>
      <c r="B20" s="107"/>
      <c r="C20" s="107"/>
      <c r="E20" s="107"/>
      <c r="F20" s="107" t="s">
        <v>153</v>
      </c>
      <c r="G20" s="107"/>
      <c r="H20" s="118">
        <f>Revenue!M18</f>
        <v>80</v>
      </c>
      <c r="I20" s="118">
        <f>Revenue!N18</f>
        <v>80</v>
      </c>
      <c r="J20" s="118">
        <f>Revenue!O18</f>
        <v>80</v>
      </c>
      <c r="K20" s="118">
        <f>Revenue!P18</f>
        <v>80</v>
      </c>
      <c r="L20" s="118">
        <f>Revenue!Q18</f>
        <v>80</v>
      </c>
      <c r="M20" s="118">
        <f>Revenue!C44</f>
        <v>0</v>
      </c>
      <c r="N20" s="118">
        <f>Revenue!D44</f>
        <v>0</v>
      </c>
      <c r="O20" s="118">
        <f>Revenue!E44</f>
        <v>0</v>
      </c>
      <c r="P20" s="118">
        <f>Revenue!F44</f>
        <v>0</v>
      </c>
      <c r="Q20" s="118">
        <f>Revenue!G44</f>
        <v>20</v>
      </c>
      <c r="R20" s="118">
        <f>Revenue!H44</f>
        <v>20</v>
      </c>
      <c r="S20" s="118">
        <f>Revenue!I44</f>
        <v>20</v>
      </c>
      <c r="T20" s="118">
        <f>Revenue!J44</f>
        <v>20</v>
      </c>
      <c r="U20" s="118">
        <f>Revenue!K44</f>
        <v>0</v>
      </c>
      <c r="V20" s="118">
        <f>Revenue!L44</f>
        <v>0</v>
      </c>
      <c r="W20" s="118">
        <f>Revenue!M44</f>
        <v>0</v>
      </c>
      <c r="X20" s="118">
        <f>Revenue!N44</f>
        <v>0</v>
      </c>
      <c r="Y20" s="130">
        <f t="shared" si="1"/>
        <v>80</v>
      </c>
      <c r="Z20" s="113">
        <f t="shared" si="2"/>
        <v>0</v>
      </c>
      <c r="AA20" s="100">
        <f>+'General Fund'!Y20+'Road Fund'!Y20+'Lake Fund'!Y20+'Emergency Fund'!Y20-Y20</f>
        <v>0</v>
      </c>
    </row>
    <row r="21" spans="1:27" x14ac:dyDescent="0.25">
      <c r="A21" s="107"/>
      <c r="B21" s="107"/>
      <c r="C21" s="107"/>
      <c r="E21" s="107"/>
      <c r="F21" s="107" t="s">
        <v>154</v>
      </c>
      <c r="G21" s="107"/>
      <c r="H21" s="118">
        <f>Revenue!M19</f>
        <v>0</v>
      </c>
      <c r="I21" s="118">
        <f>Revenue!N19</f>
        <v>0</v>
      </c>
      <c r="J21" s="118">
        <f>Revenue!O19</f>
        <v>0</v>
      </c>
      <c r="K21" s="118">
        <f>Revenue!P19</f>
        <v>0</v>
      </c>
      <c r="L21" s="118">
        <f>Revenue!Q19</f>
        <v>0</v>
      </c>
      <c r="M21" s="118">
        <f>Revenue!C45</f>
        <v>0</v>
      </c>
      <c r="N21" s="118">
        <f>Revenue!D45</f>
        <v>0</v>
      </c>
      <c r="O21" s="118">
        <f>Revenue!E45</f>
        <v>0</v>
      </c>
      <c r="P21" s="118">
        <f>Revenue!F45</f>
        <v>0</v>
      </c>
      <c r="Q21" s="118">
        <f>Revenue!G45</f>
        <v>0</v>
      </c>
      <c r="R21" s="118">
        <f>Revenue!H45</f>
        <v>0</v>
      </c>
      <c r="S21" s="118">
        <f>Revenue!I45</f>
        <v>0</v>
      </c>
      <c r="T21" s="118">
        <f>Revenue!J45</f>
        <v>0</v>
      </c>
      <c r="U21" s="118">
        <f>Revenue!K45</f>
        <v>0</v>
      </c>
      <c r="V21" s="118">
        <f>Revenue!L45</f>
        <v>0</v>
      </c>
      <c r="W21" s="118">
        <f>Revenue!M45</f>
        <v>0</v>
      </c>
      <c r="X21" s="118">
        <f>Revenue!N45</f>
        <v>0</v>
      </c>
      <c r="Y21" s="130">
        <f t="shared" si="1"/>
        <v>0</v>
      </c>
      <c r="Z21" s="113">
        <f t="shared" si="2"/>
        <v>0</v>
      </c>
      <c r="AA21" s="100">
        <f>+'General Fund'!Y21+'Road Fund'!Y21+'Lake Fund'!Y21+'Emergency Fund'!Y21-Y21</f>
        <v>0</v>
      </c>
    </row>
    <row r="22" spans="1:27" x14ac:dyDescent="0.25">
      <c r="A22" s="107"/>
      <c r="B22" s="107"/>
      <c r="C22" s="107"/>
      <c r="E22" s="107"/>
      <c r="F22" s="107" t="s">
        <v>155</v>
      </c>
      <c r="G22" s="107"/>
      <c r="H22" s="118">
        <f>Revenue!M20</f>
        <v>312</v>
      </c>
      <c r="I22" s="118">
        <f>Revenue!N20</f>
        <v>313</v>
      </c>
      <c r="J22" s="118">
        <f>Revenue!O20</f>
        <v>315</v>
      </c>
      <c r="K22" s="118">
        <f>Revenue!P20</f>
        <v>316</v>
      </c>
      <c r="L22" s="118">
        <f>Revenue!Q20</f>
        <v>318</v>
      </c>
      <c r="M22" s="118">
        <f>Revenue!C46</f>
        <v>26</v>
      </c>
      <c r="N22" s="118">
        <f>Revenue!D46</f>
        <v>26</v>
      </c>
      <c r="O22" s="118">
        <f>Revenue!E46</f>
        <v>26</v>
      </c>
      <c r="P22" s="118">
        <f>Revenue!F46</f>
        <v>26</v>
      </c>
      <c r="Q22" s="118">
        <f>Revenue!G46</f>
        <v>26</v>
      </c>
      <c r="R22" s="118">
        <f>Revenue!H46</f>
        <v>26</v>
      </c>
      <c r="S22" s="118">
        <f>Revenue!I46</f>
        <v>26</v>
      </c>
      <c r="T22" s="118">
        <f>Revenue!J46</f>
        <v>26</v>
      </c>
      <c r="U22" s="118">
        <f>Revenue!K46</f>
        <v>26</v>
      </c>
      <c r="V22" s="118">
        <f>Revenue!L46</f>
        <v>26</v>
      </c>
      <c r="W22" s="118">
        <f>Revenue!M46</f>
        <v>26</v>
      </c>
      <c r="X22" s="118">
        <f>Revenue!N46</f>
        <v>26</v>
      </c>
      <c r="Y22" s="130">
        <f t="shared" si="1"/>
        <v>312</v>
      </c>
      <c r="Z22" s="113">
        <f t="shared" si="2"/>
        <v>0</v>
      </c>
      <c r="AA22" s="100">
        <f>+'General Fund'!Y22+'Road Fund'!Y22+'Lake Fund'!Y22+'Emergency Fund'!Y22-Y22</f>
        <v>0</v>
      </c>
    </row>
    <row r="23" spans="1:27" x14ac:dyDescent="0.25">
      <c r="A23" s="107"/>
      <c r="B23" s="107"/>
      <c r="C23" s="107"/>
      <c r="E23" s="107"/>
      <c r="F23" s="107" t="s">
        <v>156</v>
      </c>
      <c r="G23" s="107"/>
      <c r="H23" s="118">
        <f>Revenue!M21</f>
        <v>0</v>
      </c>
      <c r="I23" s="118">
        <f>Revenue!N21</f>
        <v>0</v>
      </c>
      <c r="J23" s="118">
        <f>Revenue!O21</f>
        <v>0</v>
      </c>
      <c r="K23" s="118">
        <f>Revenue!P21</f>
        <v>0</v>
      </c>
      <c r="L23" s="118">
        <f>Revenue!Q21</f>
        <v>0</v>
      </c>
      <c r="M23" s="118">
        <f>Revenue!C47</f>
        <v>0</v>
      </c>
      <c r="N23" s="118">
        <f>Revenue!D47</f>
        <v>0</v>
      </c>
      <c r="O23" s="118">
        <f>Revenue!E47</f>
        <v>0</v>
      </c>
      <c r="P23" s="118">
        <f>Revenue!F47</f>
        <v>0</v>
      </c>
      <c r="Q23" s="118">
        <f>Revenue!G47</f>
        <v>0</v>
      </c>
      <c r="R23" s="118">
        <f>Revenue!H47</f>
        <v>0</v>
      </c>
      <c r="S23" s="118">
        <f>Revenue!I47</f>
        <v>0</v>
      </c>
      <c r="T23" s="118">
        <f>Revenue!J47</f>
        <v>0</v>
      </c>
      <c r="U23" s="118">
        <f>Revenue!K47</f>
        <v>0</v>
      </c>
      <c r="V23" s="118">
        <f>Revenue!L47</f>
        <v>0</v>
      </c>
      <c r="W23" s="118">
        <f>Revenue!M47</f>
        <v>0</v>
      </c>
      <c r="X23" s="118">
        <f>Revenue!N47</f>
        <v>0</v>
      </c>
      <c r="Y23" s="130">
        <f t="shared" si="1"/>
        <v>0</v>
      </c>
      <c r="Z23" s="113">
        <f t="shared" si="2"/>
        <v>0</v>
      </c>
      <c r="AA23" s="100">
        <f>+'General Fund'!Y23+'Road Fund'!Y23+'Lake Fund'!Y23+'Emergency Fund'!Y23-Y23</f>
        <v>0</v>
      </c>
    </row>
    <row r="24" spans="1:27" ht="15.75" thickBot="1" x14ac:dyDescent="0.3">
      <c r="A24" s="107"/>
      <c r="B24" s="107"/>
      <c r="C24" s="107"/>
      <c r="E24" s="107"/>
      <c r="F24" s="107" t="s">
        <v>157</v>
      </c>
      <c r="G24" s="107"/>
      <c r="H24" s="118">
        <f>Revenue!M22</f>
        <v>0</v>
      </c>
      <c r="I24" s="118">
        <f>Revenue!N22</f>
        <v>0</v>
      </c>
      <c r="J24" s="118">
        <f>Revenue!O22</f>
        <v>0</v>
      </c>
      <c r="K24" s="118">
        <f>Revenue!P22</f>
        <v>0</v>
      </c>
      <c r="L24" s="118">
        <f>Revenue!Q22</f>
        <v>0</v>
      </c>
      <c r="M24" s="118">
        <f>Revenue!C48</f>
        <v>0</v>
      </c>
      <c r="N24" s="118">
        <f>Revenue!D48</f>
        <v>0</v>
      </c>
      <c r="O24" s="118">
        <f>Revenue!E48</f>
        <v>0</v>
      </c>
      <c r="P24" s="118">
        <f>Revenue!F48</f>
        <v>0</v>
      </c>
      <c r="Q24" s="118">
        <f>Revenue!G48</f>
        <v>0</v>
      </c>
      <c r="R24" s="118">
        <f>Revenue!H48</f>
        <v>0</v>
      </c>
      <c r="S24" s="118">
        <f>Revenue!I48</f>
        <v>0</v>
      </c>
      <c r="T24" s="118">
        <f>Revenue!J48</f>
        <v>0</v>
      </c>
      <c r="U24" s="118">
        <f>Revenue!K48</f>
        <v>0</v>
      </c>
      <c r="V24" s="118">
        <f>Revenue!L48</f>
        <v>0</v>
      </c>
      <c r="W24" s="118">
        <f>Revenue!M48</f>
        <v>0</v>
      </c>
      <c r="X24" s="118">
        <f>Revenue!N48</f>
        <v>0</v>
      </c>
      <c r="Y24" s="130">
        <f t="shared" si="1"/>
        <v>0</v>
      </c>
      <c r="Z24" s="113">
        <f t="shared" si="2"/>
        <v>0</v>
      </c>
      <c r="AA24" s="100">
        <f>+'General Fund'!Y24+'Road Fund'!Y24+'Lake Fund'!Y24+'Emergency Fund'!Y24-Y24</f>
        <v>0</v>
      </c>
    </row>
    <row r="25" spans="1:27" ht="15.75" thickBot="1" x14ac:dyDescent="0.3">
      <c r="A25" s="107"/>
      <c r="B25" s="107"/>
      <c r="C25" s="107" t="s">
        <v>158</v>
      </c>
      <c r="D25" s="107"/>
      <c r="E25" s="107"/>
      <c r="F25" s="107"/>
      <c r="G25" s="107"/>
      <c r="H25" s="131">
        <f>ROUND(SUM(H6:H24),5)</f>
        <v>353798.77025</v>
      </c>
      <c r="I25" s="131">
        <f t="shared" ref="I25:L25" si="3">ROUND(SUM(I6:I24),5)</f>
        <v>358899.55680000002</v>
      </c>
      <c r="J25" s="131">
        <f t="shared" si="3"/>
        <v>364077.84016000002</v>
      </c>
      <c r="K25" s="131">
        <f t="shared" si="3"/>
        <v>369332.76776000002</v>
      </c>
      <c r="L25" s="131">
        <f t="shared" si="3"/>
        <v>374667.50426999998</v>
      </c>
      <c r="M25" s="131">
        <f t="shared" ref="M25:X25" si="4">ROUND(SUM(M6:M24),5)</f>
        <v>247759.42707999999</v>
      </c>
      <c r="N25" s="131">
        <f t="shared" si="4"/>
        <v>346.83332999999999</v>
      </c>
      <c r="O25" s="131">
        <f t="shared" si="4"/>
        <v>346.83332999999999</v>
      </c>
      <c r="P25" s="131">
        <f t="shared" si="4"/>
        <v>346.83332999999999</v>
      </c>
      <c r="Q25" s="131">
        <f t="shared" si="4"/>
        <v>2759.5833299999999</v>
      </c>
      <c r="R25" s="131">
        <f t="shared" si="4"/>
        <v>2759.5833299999999</v>
      </c>
      <c r="S25" s="131">
        <f t="shared" si="4"/>
        <v>55065.740729999998</v>
      </c>
      <c r="T25" s="131">
        <f t="shared" si="4"/>
        <v>2759.5833299999999</v>
      </c>
      <c r="U25" s="131">
        <f t="shared" si="4"/>
        <v>346.83332999999999</v>
      </c>
      <c r="V25" s="131">
        <f t="shared" si="4"/>
        <v>40613.852429999999</v>
      </c>
      <c r="W25" s="131">
        <f t="shared" si="4"/>
        <v>346.83332999999999</v>
      </c>
      <c r="X25" s="131">
        <f t="shared" si="4"/>
        <v>346.83332999999999</v>
      </c>
      <c r="Y25" s="131">
        <f>ROUND(SUM(Y6:Y24),5)</f>
        <v>353798.77025</v>
      </c>
      <c r="Z25" s="113">
        <f t="shared" si="2"/>
        <v>0</v>
      </c>
      <c r="AA25" s="100">
        <f>+'General Fund'!Y25+'Road Fund'!Y25+'Lake Fund'!Y25+'Emergency Fund'!Y25-Y25</f>
        <v>0</v>
      </c>
    </row>
    <row r="26" spans="1:27" x14ac:dyDescent="0.25">
      <c r="A26" s="107"/>
      <c r="B26" s="107" t="s">
        <v>159</v>
      </c>
      <c r="C26" s="107"/>
      <c r="D26" s="107"/>
      <c r="E26" s="107"/>
      <c r="F26" s="107"/>
      <c r="G26" s="107"/>
      <c r="H26" s="118">
        <f>H25</f>
        <v>353798.77025</v>
      </c>
      <c r="I26" s="118">
        <f t="shared" ref="I26:L26" si="5">I25</f>
        <v>358899.55680000002</v>
      </c>
      <c r="J26" s="118">
        <f t="shared" si="5"/>
        <v>364077.84016000002</v>
      </c>
      <c r="K26" s="118">
        <f t="shared" si="5"/>
        <v>369332.76776000002</v>
      </c>
      <c r="L26" s="118">
        <f t="shared" si="5"/>
        <v>374667.50426999998</v>
      </c>
      <c r="M26" s="118">
        <f t="shared" ref="M26:X26" si="6">M25</f>
        <v>247759.42707999999</v>
      </c>
      <c r="N26" s="118">
        <f t="shared" si="6"/>
        <v>346.83332999999999</v>
      </c>
      <c r="O26" s="118">
        <f t="shared" si="6"/>
        <v>346.83332999999999</v>
      </c>
      <c r="P26" s="118">
        <f t="shared" si="6"/>
        <v>346.83332999999999</v>
      </c>
      <c r="Q26" s="118">
        <f t="shared" si="6"/>
        <v>2759.5833299999999</v>
      </c>
      <c r="R26" s="118">
        <f t="shared" si="6"/>
        <v>2759.5833299999999</v>
      </c>
      <c r="S26" s="118">
        <f t="shared" si="6"/>
        <v>55065.740729999998</v>
      </c>
      <c r="T26" s="118">
        <f t="shared" si="6"/>
        <v>2759.5833299999999</v>
      </c>
      <c r="U26" s="118">
        <f t="shared" si="6"/>
        <v>346.83332999999999</v>
      </c>
      <c r="V26" s="118">
        <f t="shared" si="6"/>
        <v>40613.852429999999</v>
      </c>
      <c r="W26" s="118">
        <f t="shared" si="6"/>
        <v>346.83332999999999</v>
      </c>
      <c r="X26" s="118">
        <f t="shared" si="6"/>
        <v>346.83332999999999</v>
      </c>
      <c r="Y26" s="130">
        <f t="shared" si="1"/>
        <v>353798.77020999999</v>
      </c>
      <c r="Z26" s="113">
        <f t="shared" si="2"/>
        <v>0</v>
      </c>
      <c r="AA26" s="100">
        <f>+'General Fund'!Y26+'Road Fund'!Y26+'Lake Fund'!Y26+'Emergency Fund'!Y26-Y26</f>
        <v>0</v>
      </c>
    </row>
    <row r="27" spans="1:27" x14ac:dyDescent="0.25">
      <c r="A27" s="107"/>
      <c r="B27" s="107"/>
      <c r="C27" s="107" t="s">
        <v>160</v>
      </c>
      <c r="D27" s="107"/>
      <c r="E27" s="107"/>
      <c r="F27" s="107"/>
      <c r="G27" s="107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30"/>
    </row>
    <row r="28" spans="1:27" x14ac:dyDescent="0.25">
      <c r="A28" s="107"/>
      <c r="B28" s="107"/>
      <c r="C28" s="107"/>
      <c r="D28" s="107" t="s">
        <v>160</v>
      </c>
      <c r="E28" s="107"/>
      <c r="F28" s="107"/>
      <c r="G28" s="107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30"/>
    </row>
    <row r="29" spans="1:27" x14ac:dyDescent="0.25">
      <c r="A29" s="107"/>
      <c r="B29" s="107"/>
      <c r="C29" s="107"/>
      <c r="D29" s="107"/>
      <c r="E29" s="107" t="s">
        <v>111</v>
      </c>
      <c r="F29" s="107"/>
      <c r="G29" s="107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30"/>
    </row>
    <row r="30" spans="1:27" x14ac:dyDescent="0.25">
      <c r="A30" s="107"/>
      <c r="B30" s="107"/>
      <c r="C30" s="107"/>
      <c r="D30" s="107"/>
      <c r="E30" s="107"/>
      <c r="F30" s="132" t="s">
        <v>112</v>
      </c>
      <c r="G30" s="107"/>
      <c r="H30" s="133">
        <f>Conservation!M4</f>
        <v>1300</v>
      </c>
      <c r="I30" s="133">
        <f>Conservation!N4</f>
        <v>1650</v>
      </c>
      <c r="J30" s="133">
        <f>Conservation!O4</f>
        <v>1750</v>
      </c>
      <c r="K30" s="133">
        <f>Conservation!P4</f>
        <v>2310</v>
      </c>
      <c r="L30" s="133">
        <f>Conservation!Q4</f>
        <v>1860</v>
      </c>
      <c r="M30" s="133">
        <f>Conservation!C16</f>
        <v>0</v>
      </c>
      <c r="N30" s="133">
        <f>Conservation!D16</f>
        <v>0</v>
      </c>
      <c r="O30" s="133">
        <f>Conservation!E16</f>
        <v>0</v>
      </c>
      <c r="P30" s="133">
        <f>Conservation!F16</f>
        <v>400</v>
      </c>
      <c r="Q30" s="133">
        <f>Conservation!G16</f>
        <v>0</v>
      </c>
      <c r="R30" s="133">
        <f>Conservation!H16</f>
        <v>500</v>
      </c>
      <c r="S30" s="133">
        <f>Conservation!I16</f>
        <v>0</v>
      </c>
      <c r="T30" s="133">
        <f>Conservation!J16</f>
        <v>400</v>
      </c>
      <c r="U30" s="133">
        <f>Conservation!K16</f>
        <v>0</v>
      </c>
      <c r="V30" s="133">
        <f>Conservation!L16</f>
        <v>0</v>
      </c>
      <c r="W30" s="133">
        <f>Conservation!M16</f>
        <v>0</v>
      </c>
      <c r="X30" s="133">
        <f>Conservation!N16</f>
        <v>0</v>
      </c>
      <c r="Y30" s="130">
        <f t="shared" si="1"/>
        <v>1300</v>
      </c>
      <c r="Z30" s="113">
        <f t="shared" ref="Z30:Z37" si="7">ROUND(Y30-H30,0)</f>
        <v>0</v>
      </c>
      <c r="AA30" s="100">
        <f>+'General Fund'!Y30+'Road Fund'!Y30+'Lake Fund'!Y30+'Emergency Fund'!Y30-Y30</f>
        <v>0</v>
      </c>
    </row>
    <row r="31" spans="1:27" x14ac:dyDescent="0.25">
      <c r="A31" s="107"/>
      <c r="B31" s="107"/>
      <c r="C31" s="107"/>
      <c r="D31" s="107"/>
      <c r="E31" s="107"/>
      <c r="F31" s="132" t="s">
        <v>113</v>
      </c>
      <c r="G31" s="107"/>
      <c r="H31" s="133">
        <f>Conservation!M5</f>
        <v>11800</v>
      </c>
      <c r="I31" s="133">
        <f>Conservation!N5</f>
        <v>76300</v>
      </c>
      <c r="J31" s="133">
        <f>Conservation!O5</f>
        <v>3200</v>
      </c>
      <c r="K31" s="133">
        <f>Conservation!P5</f>
        <v>1500</v>
      </c>
      <c r="L31" s="133">
        <f>Conservation!Q5</f>
        <v>2300</v>
      </c>
      <c r="M31" s="133">
        <f>Conservation!C17</f>
        <v>0</v>
      </c>
      <c r="N31" s="133">
        <f>Conservation!D17</f>
        <v>0</v>
      </c>
      <c r="O31" s="133">
        <f>Conservation!E17</f>
        <v>0</v>
      </c>
      <c r="P31" s="133">
        <f>Conservation!F17</f>
        <v>0</v>
      </c>
      <c r="Q31" s="133">
        <f>Conservation!G17</f>
        <v>0</v>
      </c>
      <c r="R31" s="133">
        <f>Conservation!H17</f>
        <v>11800</v>
      </c>
      <c r="S31" s="133">
        <f>Conservation!I17</f>
        <v>0</v>
      </c>
      <c r="T31" s="133">
        <f>Conservation!J17</f>
        <v>0</v>
      </c>
      <c r="U31" s="133">
        <f>Conservation!K17</f>
        <v>0</v>
      </c>
      <c r="V31" s="133">
        <f>Conservation!L17</f>
        <v>0</v>
      </c>
      <c r="W31" s="133">
        <f>Conservation!M17</f>
        <v>0</v>
      </c>
      <c r="X31" s="133">
        <f>Conservation!N17</f>
        <v>0</v>
      </c>
      <c r="Y31" s="130">
        <f t="shared" si="1"/>
        <v>11800</v>
      </c>
      <c r="Z31" s="113">
        <f t="shared" si="7"/>
        <v>0</v>
      </c>
      <c r="AA31" s="100">
        <f>+'General Fund'!Y31+'Road Fund'!Y31+'Lake Fund'!Y31+'Emergency Fund'!Y31-Y31</f>
        <v>0</v>
      </c>
    </row>
    <row r="32" spans="1:27" x14ac:dyDescent="0.25">
      <c r="A32" s="107"/>
      <c r="B32" s="107"/>
      <c r="C32" s="107"/>
      <c r="D32" s="107"/>
      <c r="E32" s="107"/>
      <c r="F32" s="132" t="s">
        <v>114</v>
      </c>
      <c r="G32" s="107"/>
      <c r="H32" s="133">
        <f>Conservation!M6</f>
        <v>2150</v>
      </c>
      <c r="I32" s="133">
        <f>Conservation!N6</f>
        <v>1600</v>
      </c>
      <c r="J32" s="133">
        <f>Conservation!O6</f>
        <v>1700</v>
      </c>
      <c r="K32" s="133">
        <f>Conservation!P6</f>
        <v>1800</v>
      </c>
      <c r="L32" s="133">
        <f>Conservation!Q6</f>
        <v>1900</v>
      </c>
      <c r="M32" s="133">
        <f>Conservation!C18</f>
        <v>0</v>
      </c>
      <c r="N32" s="133">
        <f>Conservation!D18</f>
        <v>0</v>
      </c>
      <c r="O32" s="133">
        <f>Conservation!E18</f>
        <v>0</v>
      </c>
      <c r="P32" s="133">
        <f>Conservation!F18</f>
        <v>0</v>
      </c>
      <c r="Q32" s="133">
        <f>Conservation!G18</f>
        <v>0</v>
      </c>
      <c r="R32" s="133">
        <f>Conservation!H18</f>
        <v>0</v>
      </c>
      <c r="S32" s="133">
        <f>Conservation!I18</f>
        <v>0</v>
      </c>
      <c r="T32" s="133">
        <f>Conservation!J18</f>
        <v>0</v>
      </c>
      <c r="U32" s="133">
        <f>Conservation!K18</f>
        <v>0</v>
      </c>
      <c r="V32" s="133">
        <f>Conservation!L18</f>
        <v>0</v>
      </c>
      <c r="W32" s="133">
        <f>Conservation!M18</f>
        <v>2150</v>
      </c>
      <c r="X32" s="133">
        <f>Conservation!N18</f>
        <v>0</v>
      </c>
      <c r="Y32" s="130">
        <f t="shared" si="1"/>
        <v>2150</v>
      </c>
      <c r="Z32" s="113">
        <f t="shared" si="7"/>
        <v>0</v>
      </c>
      <c r="AA32" s="100">
        <f>+'General Fund'!Y32+'Road Fund'!Y32+'Lake Fund'!Y32+'Emergency Fund'!Y32-Y32</f>
        <v>0</v>
      </c>
    </row>
    <row r="33" spans="1:27" x14ac:dyDescent="0.25">
      <c r="A33" s="107"/>
      <c r="B33" s="107"/>
      <c r="C33" s="107"/>
      <c r="D33" s="107"/>
      <c r="E33" s="107"/>
      <c r="F33" s="132" t="s">
        <v>115</v>
      </c>
      <c r="G33" s="107"/>
      <c r="H33" s="133">
        <f>Conservation!M7</f>
        <v>12000</v>
      </c>
      <c r="I33" s="133">
        <f>Conservation!N7</f>
        <v>15000</v>
      </c>
      <c r="J33" s="133">
        <f>Conservation!O7</f>
        <v>10000</v>
      </c>
      <c r="K33" s="133">
        <f>Conservation!P7</f>
        <v>86500</v>
      </c>
      <c r="L33" s="133">
        <f>Conservation!Q7</f>
        <v>23025</v>
      </c>
      <c r="M33" s="133">
        <f>Conservation!C19</f>
        <v>0</v>
      </c>
      <c r="N33" s="133">
        <f>Conservation!D19</f>
        <v>0</v>
      </c>
      <c r="O33" s="133">
        <f>Conservation!E19</f>
        <v>0</v>
      </c>
      <c r="P33" s="133">
        <f>Conservation!F19</f>
        <v>0</v>
      </c>
      <c r="Q33" s="133">
        <f>Conservation!G19</f>
        <v>12000</v>
      </c>
      <c r="R33" s="133">
        <f>Conservation!H19</f>
        <v>0</v>
      </c>
      <c r="S33" s="133">
        <f>Conservation!I19</f>
        <v>0</v>
      </c>
      <c r="T33" s="133">
        <f>Conservation!J19</f>
        <v>0</v>
      </c>
      <c r="U33" s="133">
        <f>Conservation!K19</f>
        <v>0</v>
      </c>
      <c r="V33" s="133">
        <f>Conservation!L19</f>
        <v>0</v>
      </c>
      <c r="W33" s="133">
        <f>Conservation!M19</f>
        <v>0</v>
      </c>
      <c r="X33" s="133">
        <f>Conservation!N19</f>
        <v>0</v>
      </c>
      <c r="Y33" s="130">
        <f t="shared" si="1"/>
        <v>12000</v>
      </c>
      <c r="Z33" s="113">
        <f t="shared" si="7"/>
        <v>0</v>
      </c>
      <c r="AA33" s="100">
        <f>+'General Fund'!Y33+'Road Fund'!Y33+'Lake Fund'!Y33+'Emergency Fund'!Y33-Y33</f>
        <v>0</v>
      </c>
    </row>
    <row r="34" spans="1:27" x14ac:dyDescent="0.25">
      <c r="A34" s="107"/>
      <c r="B34" s="107"/>
      <c r="C34" s="107"/>
      <c r="D34" s="107"/>
      <c r="E34" s="107"/>
      <c r="F34" s="132" t="s">
        <v>116</v>
      </c>
      <c r="G34" s="107"/>
      <c r="H34" s="133">
        <f>Conservation!M8</f>
        <v>0</v>
      </c>
      <c r="I34" s="133">
        <f>Conservation!N8</f>
        <v>0</v>
      </c>
      <c r="J34" s="133">
        <f>Conservation!O8</f>
        <v>0</v>
      </c>
      <c r="K34" s="133">
        <f>Conservation!P8</f>
        <v>0</v>
      </c>
      <c r="L34" s="133">
        <f>Conservation!Q8</f>
        <v>0</v>
      </c>
      <c r="M34" s="133">
        <f>Conservation!C20</f>
        <v>0</v>
      </c>
      <c r="N34" s="133">
        <f>Conservation!D20</f>
        <v>0</v>
      </c>
      <c r="O34" s="133">
        <f>Conservation!E20</f>
        <v>0</v>
      </c>
      <c r="P34" s="133">
        <f>Conservation!F20</f>
        <v>0</v>
      </c>
      <c r="Q34" s="133">
        <f>Conservation!G20</f>
        <v>0</v>
      </c>
      <c r="R34" s="133">
        <f>Conservation!H20</f>
        <v>0</v>
      </c>
      <c r="S34" s="133">
        <f>Conservation!I20</f>
        <v>0</v>
      </c>
      <c r="T34" s="133">
        <f>Conservation!J20</f>
        <v>0</v>
      </c>
      <c r="U34" s="133">
        <f>Conservation!K20</f>
        <v>0</v>
      </c>
      <c r="V34" s="133">
        <f>Conservation!L20</f>
        <v>0</v>
      </c>
      <c r="W34" s="133">
        <f>Conservation!M20</f>
        <v>0</v>
      </c>
      <c r="X34" s="133">
        <f>Conservation!N20</f>
        <v>0</v>
      </c>
      <c r="Y34" s="130">
        <f t="shared" si="1"/>
        <v>0</v>
      </c>
      <c r="Z34" s="113">
        <f t="shared" si="7"/>
        <v>0</v>
      </c>
      <c r="AA34" s="100">
        <f>+'General Fund'!Y34+'Road Fund'!Y34+'Lake Fund'!Y34+'Emergency Fund'!Y34-Y34</f>
        <v>0</v>
      </c>
    </row>
    <row r="35" spans="1:27" x14ac:dyDescent="0.25">
      <c r="A35" s="107"/>
      <c r="B35" s="107"/>
      <c r="C35" s="107"/>
      <c r="D35" s="107"/>
      <c r="E35" s="107"/>
      <c r="F35" s="132" t="s">
        <v>117</v>
      </c>
      <c r="G35" s="107"/>
      <c r="H35" s="133">
        <f>Conservation!M9</f>
        <v>0</v>
      </c>
      <c r="I35" s="133">
        <f>Conservation!N9</f>
        <v>0</v>
      </c>
      <c r="J35" s="133">
        <f>Conservation!O9</f>
        <v>0</v>
      </c>
      <c r="K35" s="133">
        <f>Conservation!P9</f>
        <v>0</v>
      </c>
      <c r="L35" s="133">
        <f>Conservation!Q9</f>
        <v>0</v>
      </c>
      <c r="M35" s="133">
        <f>Conservation!C21</f>
        <v>0</v>
      </c>
      <c r="N35" s="133">
        <f>Conservation!D21</f>
        <v>0</v>
      </c>
      <c r="O35" s="133">
        <f>Conservation!E21</f>
        <v>0</v>
      </c>
      <c r="P35" s="133">
        <f>Conservation!F21</f>
        <v>0</v>
      </c>
      <c r="Q35" s="133">
        <f>Conservation!G21</f>
        <v>0</v>
      </c>
      <c r="R35" s="133">
        <f>Conservation!H21</f>
        <v>0</v>
      </c>
      <c r="S35" s="133">
        <f>Conservation!I21</f>
        <v>0</v>
      </c>
      <c r="T35" s="133">
        <f>Conservation!J21</f>
        <v>0</v>
      </c>
      <c r="U35" s="133">
        <f>Conservation!K21</f>
        <v>0</v>
      </c>
      <c r="V35" s="133">
        <f>Conservation!L21</f>
        <v>0</v>
      </c>
      <c r="W35" s="133">
        <f>Conservation!M21</f>
        <v>0</v>
      </c>
      <c r="X35" s="133">
        <f>Conservation!N21</f>
        <v>0</v>
      </c>
      <c r="Y35" s="130">
        <f t="shared" si="1"/>
        <v>0</v>
      </c>
      <c r="Z35" s="113">
        <f t="shared" si="7"/>
        <v>0</v>
      </c>
      <c r="AA35" s="100">
        <f>+'General Fund'!Y35+'Road Fund'!Y35+'Lake Fund'!Y35+'Emergency Fund'!Y35-Y35</f>
        <v>0</v>
      </c>
    </row>
    <row r="36" spans="1:27" ht="15.75" thickBot="1" x14ac:dyDescent="0.3">
      <c r="A36" s="107"/>
      <c r="B36" s="107"/>
      <c r="C36" s="107"/>
      <c r="D36" s="107"/>
      <c r="E36" s="107"/>
      <c r="F36" s="132" t="s">
        <v>118</v>
      </c>
      <c r="G36" s="107"/>
      <c r="H36" s="134">
        <f>Conservation!M10</f>
        <v>1300</v>
      </c>
      <c r="I36" s="134">
        <f>Conservation!N10</f>
        <v>0</v>
      </c>
      <c r="J36" s="134">
        <f>Conservation!O10</f>
        <v>150</v>
      </c>
      <c r="K36" s="134">
        <f>Conservation!P10</f>
        <v>0</v>
      </c>
      <c r="L36" s="134">
        <f>Conservation!Q10</f>
        <v>0</v>
      </c>
      <c r="M36" s="134">
        <f>Conservation!C22</f>
        <v>100</v>
      </c>
      <c r="N36" s="134">
        <f>Conservation!D22</f>
        <v>100</v>
      </c>
      <c r="O36" s="134">
        <f>Conservation!E22</f>
        <v>100</v>
      </c>
      <c r="P36" s="134">
        <f>Conservation!F22</f>
        <v>100</v>
      </c>
      <c r="Q36" s="134">
        <f>Conservation!G22</f>
        <v>100</v>
      </c>
      <c r="R36" s="134">
        <f>Conservation!H22</f>
        <v>200</v>
      </c>
      <c r="S36" s="134">
        <f>Conservation!I22</f>
        <v>100</v>
      </c>
      <c r="T36" s="134">
        <f>Conservation!J22</f>
        <v>100</v>
      </c>
      <c r="U36" s="134">
        <f>Conservation!K22</f>
        <v>100</v>
      </c>
      <c r="V36" s="134">
        <f>Conservation!L22</f>
        <v>100</v>
      </c>
      <c r="W36" s="134">
        <f>Conservation!M22</f>
        <v>100</v>
      </c>
      <c r="X36" s="134">
        <f>Conservation!N22</f>
        <v>100</v>
      </c>
      <c r="Y36" s="135">
        <f t="shared" si="1"/>
        <v>1300</v>
      </c>
      <c r="Z36" s="113">
        <f t="shared" si="7"/>
        <v>0</v>
      </c>
      <c r="AA36" s="100">
        <f>+'General Fund'!Y36+'Road Fund'!Y36+'Lake Fund'!Y36+'Emergency Fund'!Y36-Y36</f>
        <v>0</v>
      </c>
    </row>
    <row r="37" spans="1:27" x14ac:dyDescent="0.25">
      <c r="A37" s="107"/>
      <c r="B37" s="107"/>
      <c r="C37" s="107"/>
      <c r="D37" s="107"/>
      <c r="E37" s="107" t="s">
        <v>119</v>
      </c>
      <c r="F37" s="107"/>
      <c r="G37" s="107"/>
      <c r="H37" s="118">
        <f>ROUND(SUM(H30:H36),5)</f>
        <v>28550</v>
      </c>
      <c r="I37" s="118">
        <f t="shared" ref="I37:L37" si="8">ROUND(SUM(I30:I36),5)</f>
        <v>94550</v>
      </c>
      <c r="J37" s="118">
        <f t="shared" si="8"/>
        <v>16800</v>
      </c>
      <c r="K37" s="118">
        <f t="shared" si="8"/>
        <v>92110</v>
      </c>
      <c r="L37" s="118">
        <f t="shared" si="8"/>
        <v>29085</v>
      </c>
      <c r="M37" s="118">
        <f t="shared" ref="M37:X37" si="9">ROUND(SUM(M30:M36),5)</f>
        <v>100</v>
      </c>
      <c r="N37" s="118">
        <f t="shared" si="9"/>
        <v>100</v>
      </c>
      <c r="O37" s="118">
        <f t="shared" si="9"/>
        <v>100</v>
      </c>
      <c r="P37" s="118">
        <f t="shared" si="9"/>
        <v>500</v>
      </c>
      <c r="Q37" s="118">
        <f t="shared" si="9"/>
        <v>12100</v>
      </c>
      <c r="R37" s="118">
        <f t="shared" si="9"/>
        <v>12500</v>
      </c>
      <c r="S37" s="118">
        <f t="shared" si="9"/>
        <v>100</v>
      </c>
      <c r="T37" s="118">
        <f t="shared" si="9"/>
        <v>500</v>
      </c>
      <c r="U37" s="118">
        <f t="shared" si="9"/>
        <v>100</v>
      </c>
      <c r="V37" s="118">
        <f t="shared" si="9"/>
        <v>100</v>
      </c>
      <c r="W37" s="118">
        <f t="shared" si="9"/>
        <v>2250</v>
      </c>
      <c r="X37" s="118">
        <f t="shared" si="9"/>
        <v>100</v>
      </c>
      <c r="Y37" s="118">
        <f>ROUND(SUM(Y29:Y36),5)</f>
        <v>28550</v>
      </c>
      <c r="Z37" s="113">
        <f t="shared" si="7"/>
        <v>0</v>
      </c>
      <c r="AA37" s="100">
        <f>+'General Fund'!Y37+'Road Fund'!Y37+'Lake Fund'!Y37+'Emergency Fund'!Y37-Y37</f>
        <v>0</v>
      </c>
    </row>
    <row r="38" spans="1:27" x14ac:dyDescent="0.25">
      <c r="A38" s="107"/>
      <c r="B38" s="107"/>
      <c r="C38" s="107"/>
      <c r="D38" s="107"/>
      <c r="E38" s="107" t="s">
        <v>0</v>
      </c>
      <c r="F38" s="107"/>
      <c r="G38" s="107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30"/>
    </row>
    <row r="39" spans="1:27" x14ac:dyDescent="0.25">
      <c r="A39" s="107"/>
      <c r="B39" s="107"/>
      <c r="C39" s="107"/>
      <c r="D39" s="107"/>
      <c r="E39" s="107"/>
      <c r="F39" s="132" t="s">
        <v>1</v>
      </c>
      <c r="G39" s="107"/>
      <c r="H39" s="118">
        <f>'Lodge &amp; Pool'!M4</f>
        <v>2000</v>
      </c>
      <c r="I39" s="118">
        <f>'Lodge &amp; Pool'!N4</f>
        <v>2029.9999999999998</v>
      </c>
      <c r="J39" s="118">
        <f>'Lodge &amp; Pool'!O4</f>
        <v>2060.4499999999994</v>
      </c>
      <c r="K39" s="118">
        <f>'Lodge &amp; Pool'!P4</f>
        <v>2091.356749999999</v>
      </c>
      <c r="L39" s="118">
        <f>'Lodge &amp; Pool'!Q4</f>
        <v>2122.7271012499987</v>
      </c>
      <c r="M39" s="118">
        <f>'Lodge &amp; Pool'!C33</f>
        <v>0</v>
      </c>
      <c r="N39" s="118">
        <f>'Lodge &amp; Pool'!D33</f>
        <v>0</v>
      </c>
      <c r="O39" s="118">
        <f>'Lodge &amp; Pool'!E33</f>
        <v>0</v>
      </c>
      <c r="P39" s="118">
        <f>'Lodge &amp; Pool'!F33</f>
        <v>0</v>
      </c>
      <c r="Q39" s="118">
        <f>'Lodge &amp; Pool'!G33</f>
        <v>1000</v>
      </c>
      <c r="R39" s="118">
        <f>'Lodge &amp; Pool'!H33</f>
        <v>0</v>
      </c>
      <c r="S39" s="118">
        <f>'Lodge &amp; Pool'!I33</f>
        <v>1000</v>
      </c>
      <c r="T39" s="118">
        <f>'Lodge &amp; Pool'!J33</f>
        <v>0</v>
      </c>
      <c r="U39" s="118">
        <f>'Lodge &amp; Pool'!K33</f>
        <v>0</v>
      </c>
      <c r="V39" s="118">
        <f>'Lodge &amp; Pool'!L33</f>
        <v>0</v>
      </c>
      <c r="W39" s="118">
        <f>'Lodge &amp; Pool'!M33</f>
        <v>0</v>
      </c>
      <c r="X39" s="118">
        <f>'Lodge &amp; Pool'!N33</f>
        <v>0</v>
      </c>
      <c r="Y39" s="130">
        <f t="shared" si="1"/>
        <v>2000</v>
      </c>
      <c r="Z39" s="113">
        <f t="shared" ref="Z39:Z61" si="10">ROUND(Y39-H39,0)</f>
        <v>0</v>
      </c>
      <c r="AA39" s="100">
        <f>+'General Fund'!Y39+'Road Fund'!Y39+'Lake Fund'!Y39+'Emergency Fund'!Y39-Y39</f>
        <v>0</v>
      </c>
    </row>
    <row r="40" spans="1:27" x14ac:dyDescent="0.25">
      <c r="A40" s="107"/>
      <c r="B40" s="107"/>
      <c r="C40" s="107"/>
      <c r="D40" s="107"/>
      <c r="E40" s="107"/>
      <c r="F40" s="132" t="s">
        <v>2</v>
      </c>
      <c r="G40" s="107"/>
      <c r="H40" s="118">
        <f>'Lodge &amp; Pool'!M5</f>
        <v>5000</v>
      </c>
      <c r="I40" s="118">
        <f>'Lodge &amp; Pool'!N5</f>
        <v>5500</v>
      </c>
      <c r="J40" s="118">
        <f>'Lodge &amp; Pool'!O5</f>
        <v>1000</v>
      </c>
      <c r="K40" s="118">
        <f>'Lodge &amp; Pool'!P5</f>
        <v>1000</v>
      </c>
      <c r="L40" s="118">
        <f>'Lodge &amp; Pool'!Q5</f>
        <v>1000</v>
      </c>
      <c r="M40" s="118">
        <f>'Lodge &amp; Pool'!C34</f>
        <v>0</v>
      </c>
      <c r="N40" s="118">
        <f>'Lodge &amp; Pool'!D34</f>
        <v>0</v>
      </c>
      <c r="O40" s="118">
        <f>'Lodge &amp; Pool'!E34</f>
        <v>0</v>
      </c>
      <c r="P40" s="118">
        <f>'Lodge &amp; Pool'!F34</f>
        <v>0</v>
      </c>
      <c r="Q40" s="118">
        <f>'Lodge &amp; Pool'!G34</f>
        <v>5000</v>
      </c>
      <c r="R40" s="118">
        <f>'Lodge &amp; Pool'!H34</f>
        <v>0</v>
      </c>
      <c r="S40" s="118">
        <f>'Lodge &amp; Pool'!I34</f>
        <v>0</v>
      </c>
      <c r="T40" s="118">
        <f>'Lodge &amp; Pool'!J34</f>
        <v>0</v>
      </c>
      <c r="U40" s="118">
        <f>'Lodge &amp; Pool'!K34</f>
        <v>0</v>
      </c>
      <c r="V40" s="118">
        <f>'Lodge &amp; Pool'!L34</f>
        <v>0</v>
      </c>
      <c r="W40" s="118">
        <f>'Lodge &amp; Pool'!M34</f>
        <v>0</v>
      </c>
      <c r="X40" s="118">
        <f>'Lodge &amp; Pool'!N34</f>
        <v>0</v>
      </c>
      <c r="Y40" s="130">
        <f t="shared" si="1"/>
        <v>5000</v>
      </c>
      <c r="Z40" s="113">
        <f t="shared" si="10"/>
        <v>0</v>
      </c>
      <c r="AA40" s="100">
        <f>+'General Fund'!Y40+'Road Fund'!Y40+'Lake Fund'!Y40+'Emergency Fund'!Y40-Y40</f>
        <v>0</v>
      </c>
    </row>
    <row r="41" spans="1:27" x14ac:dyDescent="0.25">
      <c r="A41" s="107"/>
      <c r="B41" s="107"/>
      <c r="C41" s="107"/>
      <c r="D41" s="107"/>
      <c r="E41" s="107"/>
      <c r="F41" s="132" t="s">
        <v>3</v>
      </c>
      <c r="G41" s="107"/>
      <c r="H41" s="118">
        <f>'Lodge &amp; Pool'!M6</f>
        <v>1200</v>
      </c>
      <c r="I41" s="118">
        <f>'Lodge &amp; Pool'!N6</f>
        <v>1217.9999999999998</v>
      </c>
      <c r="J41" s="118">
        <f>'Lodge &amp; Pool'!O6</f>
        <v>1236.2699999999998</v>
      </c>
      <c r="K41" s="118">
        <f>'Lodge &amp; Pool'!P6</f>
        <v>1254.8140499999997</v>
      </c>
      <c r="L41" s="118">
        <f>'Lodge &amp; Pool'!Q6</f>
        <v>1273.6362607499996</v>
      </c>
      <c r="M41" s="118">
        <f>'Lodge &amp; Pool'!C35</f>
        <v>150</v>
      </c>
      <c r="N41" s="118">
        <f>'Lodge &amp; Pool'!D35</f>
        <v>150</v>
      </c>
      <c r="O41" s="118">
        <f>'Lodge &amp; Pool'!E35</f>
        <v>150</v>
      </c>
      <c r="P41" s="118">
        <f>'Lodge &amp; Pool'!F35</f>
        <v>150</v>
      </c>
      <c r="Q41" s="118">
        <f>'Lodge &amp; Pool'!G35</f>
        <v>25</v>
      </c>
      <c r="R41" s="118">
        <f>'Lodge &amp; Pool'!H35</f>
        <v>25</v>
      </c>
      <c r="S41" s="118">
        <f>'Lodge &amp; Pool'!I35</f>
        <v>25</v>
      </c>
      <c r="T41" s="118">
        <f>'Lodge &amp; Pool'!J35</f>
        <v>25</v>
      </c>
      <c r="U41" s="118">
        <f>'Lodge &amp; Pool'!K35</f>
        <v>25</v>
      </c>
      <c r="V41" s="118">
        <f>'Lodge &amp; Pool'!L35</f>
        <v>25</v>
      </c>
      <c r="W41" s="118">
        <f>'Lodge &amp; Pool'!M35</f>
        <v>150</v>
      </c>
      <c r="X41" s="118">
        <f>'Lodge &amp; Pool'!N35</f>
        <v>300</v>
      </c>
      <c r="Y41" s="130">
        <f t="shared" si="1"/>
        <v>1200</v>
      </c>
      <c r="Z41" s="113">
        <f t="shared" si="10"/>
        <v>0</v>
      </c>
      <c r="AA41" s="100">
        <f>+'General Fund'!Y41+'Road Fund'!Y41+'Lake Fund'!Y41+'Emergency Fund'!Y41-Y41</f>
        <v>0</v>
      </c>
    </row>
    <row r="42" spans="1:27" x14ac:dyDescent="0.25">
      <c r="A42" s="107"/>
      <c r="B42" s="107"/>
      <c r="C42" s="107"/>
      <c r="D42" s="107"/>
      <c r="E42" s="107"/>
      <c r="F42" s="132" t="s">
        <v>4</v>
      </c>
      <c r="G42" s="107"/>
      <c r="H42" s="118">
        <f>'Lodge &amp; Pool'!M7</f>
        <v>1000</v>
      </c>
      <c r="I42" s="118">
        <f>'Lodge &amp; Pool'!N7</f>
        <v>2600</v>
      </c>
      <c r="J42" s="118">
        <f>'Lodge &amp; Pool'!O7</f>
        <v>100</v>
      </c>
      <c r="K42" s="118">
        <f>'Lodge &amp; Pool'!P7</f>
        <v>100</v>
      </c>
      <c r="L42" s="118">
        <f>'Lodge &amp; Pool'!Q7</f>
        <v>100</v>
      </c>
      <c r="M42" s="118">
        <f>'Lodge &amp; Pool'!C36</f>
        <v>0</v>
      </c>
      <c r="N42" s="118">
        <f>'Lodge &amp; Pool'!D36</f>
        <v>0</v>
      </c>
      <c r="O42" s="118">
        <f>'Lodge &amp; Pool'!E36</f>
        <v>0</v>
      </c>
      <c r="P42" s="118">
        <f>'Lodge &amp; Pool'!F36</f>
        <v>0</v>
      </c>
      <c r="Q42" s="118">
        <f>'Lodge &amp; Pool'!G36</f>
        <v>1000</v>
      </c>
      <c r="R42" s="118">
        <f>'Lodge &amp; Pool'!H36</f>
        <v>0</v>
      </c>
      <c r="S42" s="118">
        <f>'Lodge &amp; Pool'!I36</f>
        <v>0</v>
      </c>
      <c r="T42" s="118">
        <f>'Lodge &amp; Pool'!J36</f>
        <v>0</v>
      </c>
      <c r="U42" s="118">
        <f>'Lodge &amp; Pool'!K36</f>
        <v>0</v>
      </c>
      <c r="V42" s="118">
        <f>'Lodge &amp; Pool'!L36</f>
        <v>0</v>
      </c>
      <c r="W42" s="118">
        <f>'Lodge &amp; Pool'!M36</f>
        <v>0</v>
      </c>
      <c r="X42" s="118">
        <f>'Lodge &amp; Pool'!N36</f>
        <v>0</v>
      </c>
      <c r="Y42" s="130">
        <f t="shared" si="1"/>
        <v>1000</v>
      </c>
      <c r="Z42" s="113">
        <f t="shared" si="10"/>
        <v>0</v>
      </c>
      <c r="AA42" s="100">
        <f>+'General Fund'!Y42+'Road Fund'!Y42+'Lake Fund'!Y42+'Emergency Fund'!Y42-Y42</f>
        <v>0</v>
      </c>
    </row>
    <row r="43" spans="1:27" x14ac:dyDescent="0.25">
      <c r="A43" s="107"/>
      <c r="B43" s="107"/>
      <c r="C43" s="107"/>
      <c r="D43" s="107"/>
      <c r="E43" s="107"/>
      <c r="F43" s="132" t="s">
        <v>5</v>
      </c>
      <c r="G43" s="107"/>
      <c r="H43" s="118">
        <f>'Lodge &amp; Pool'!M8</f>
        <v>4000</v>
      </c>
      <c r="I43" s="118">
        <f>'Lodge &amp; Pool'!N8</f>
        <v>4000</v>
      </c>
      <c r="J43" s="118">
        <f>'Lodge &amp; Pool'!O8</f>
        <v>4000</v>
      </c>
      <c r="K43" s="118">
        <f>'Lodge &amp; Pool'!P8</f>
        <v>4000</v>
      </c>
      <c r="L43" s="118">
        <f>'Lodge &amp; Pool'!Q8</f>
        <v>4000</v>
      </c>
      <c r="M43" s="118">
        <f>'Lodge &amp; Pool'!C37</f>
        <v>100</v>
      </c>
      <c r="N43" s="118">
        <f>'Lodge &amp; Pool'!D37</f>
        <v>100</v>
      </c>
      <c r="O43" s="118">
        <f>'Lodge &amp; Pool'!E37</f>
        <v>100</v>
      </c>
      <c r="P43" s="118">
        <f>'Lodge &amp; Pool'!F37</f>
        <v>100</v>
      </c>
      <c r="Q43" s="118">
        <f>'Lodge &amp; Pool'!G37</f>
        <v>300</v>
      </c>
      <c r="R43" s="118">
        <f>'Lodge &amp; Pool'!H37</f>
        <v>500</v>
      </c>
      <c r="S43" s="118">
        <f>'Lodge &amp; Pool'!I37</f>
        <v>500</v>
      </c>
      <c r="T43" s="118">
        <f>'Lodge &amp; Pool'!J37</f>
        <v>500</v>
      </c>
      <c r="U43" s="118">
        <f>'Lodge &amp; Pool'!K37</f>
        <v>500</v>
      </c>
      <c r="V43" s="118">
        <f>'Lodge &amp; Pool'!L37</f>
        <v>500</v>
      </c>
      <c r="W43" s="118">
        <f>'Lodge &amp; Pool'!M37</f>
        <v>400</v>
      </c>
      <c r="X43" s="118">
        <f>'Lodge &amp; Pool'!N37</f>
        <v>400</v>
      </c>
      <c r="Y43" s="130">
        <f t="shared" si="1"/>
        <v>4000</v>
      </c>
      <c r="Z43" s="113">
        <f t="shared" si="10"/>
        <v>0</v>
      </c>
      <c r="AA43" s="100">
        <f>+'General Fund'!Y43+'Road Fund'!Y43+'Lake Fund'!Y43+'Emergency Fund'!Y43-Y43</f>
        <v>0</v>
      </c>
    </row>
    <row r="44" spans="1:27" x14ac:dyDescent="0.25">
      <c r="A44" s="107"/>
      <c r="B44" s="107"/>
      <c r="C44" s="107"/>
      <c r="D44" s="107"/>
      <c r="E44" s="107"/>
      <c r="F44" s="132" t="s">
        <v>6</v>
      </c>
      <c r="G44" s="107"/>
      <c r="H44" s="118">
        <f>'Lodge &amp; Pool'!M9</f>
        <v>400</v>
      </c>
      <c r="I44" s="118">
        <f>'Lodge &amp; Pool'!N9</f>
        <v>405.99999999999994</v>
      </c>
      <c r="J44" s="118">
        <f>'Lodge &amp; Pool'!O9</f>
        <v>412.08999999999992</v>
      </c>
      <c r="K44" s="118">
        <f>'Lodge &amp; Pool'!P9</f>
        <v>418.27134999999987</v>
      </c>
      <c r="L44" s="118">
        <f>'Lodge &amp; Pool'!Q9</f>
        <v>424.54542024999984</v>
      </c>
      <c r="M44" s="118">
        <f>'Lodge &amp; Pool'!C38</f>
        <v>35</v>
      </c>
      <c r="N44" s="118">
        <f>'Lodge &amp; Pool'!D38</f>
        <v>35</v>
      </c>
      <c r="O44" s="118">
        <f>'Lodge &amp; Pool'!E38</f>
        <v>35</v>
      </c>
      <c r="P44" s="118">
        <f>'Lodge &amp; Pool'!F38</f>
        <v>35</v>
      </c>
      <c r="Q44" s="118">
        <f>'Lodge &amp; Pool'!G38</f>
        <v>35</v>
      </c>
      <c r="R44" s="118">
        <f>'Lodge &amp; Pool'!H38</f>
        <v>35</v>
      </c>
      <c r="S44" s="118">
        <f>'Lodge &amp; Pool'!I38</f>
        <v>35</v>
      </c>
      <c r="T44" s="118">
        <f>'Lodge &amp; Pool'!J38</f>
        <v>35</v>
      </c>
      <c r="U44" s="118">
        <f>'Lodge &amp; Pool'!K38</f>
        <v>35</v>
      </c>
      <c r="V44" s="118">
        <f>'Lodge &amp; Pool'!L38</f>
        <v>35</v>
      </c>
      <c r="W44" s="118">
        <f>'Lodge &amp; Pool'!M38</f>
        <v>35</v>
      </c>
      <c r="X44" s="118">
        <f>'Lodge &amp; Pool'!N38</f>
        <v>15</v>
      </c>
      <c r="Y44" s="130">
        <f t="shared" si="1"/>
        <v>400</v>
      </c>
      <c r="Z44" s="113">
        <f t="shared" si="10"/>
        <v>0</v>
      </c>
      <c r="AA44" s="100">
        <f>+'General Fund'!Y44+'Road Fund'!Y44+'Lake Fund'!Y44+'Emergency Fund'!Y44-Y44</f>
        <v>0</v>
      </c>
    </row>
    <row r="45" spans="1:27" x14ac:dyDescent="0.25">
      <c r="A45" s="107"/>
      <c r="B45" s="107"/>
      <c r="C45" s="107"/>
      <c r="D45" s="107"/>
      <c r="E45" s="107"/>
      <c r="F45" s="132" t="s">
        <v>7</v>
      </c>
      <c r="G45" s="107"/>
      <c r="H45" s="118">
        <f>'Lodge &amp; Pool'!M10</f>
        <v>2000</v>
      </c>
      <c r="I45" s="118">
        <f>'Lodge &amp; Pool'!N10</f>
        <v>2029.9999999999998</v>
      </c>
      <c r="J45" s="118">
        <f>'Lodge &amp; Pool'!O10</f>
        <v>2060.4499999999994</v>
      </c>
      <c r="K45" s="118">
        <f>'Lodge &amp; Pool'!P10</f>
        <v>2091.356749999999</v>
      </c>
      <c r="L45" s="118">
        <f>'Lodge &amp; Pool'!Q10</f>
        <v>2122.7271012499987</v>
      </c>
      <c r="M45" s="118">
        <f>'Lodge &amp; Pool'!C39</f>
        <v>0</v>
      </c>
      <c r="N45" s="118">
        <f>'Lodge &amp; Pool'!D39</f>
        <v>0</v>
      </c>
      <c r="O45" s="118">
        <f>'Lodge &amp; Pool'!E39</f>
        <v>0</v>
      </c>
      <c r="P45" s="118">
        <f>'Lodge &amp; Pool'!F39</f>
        <v>0</v>
      </c>
      <c r="Q45" s="118">
        <f>'Lodge &amp; Pool'!G39</f>
        <v>0</v>
      </c>
      <c r="R45" s="118">
        <f>'Lodge &amp; Pool'!H39</f>
        <v>1500</v>
      </c>
      <c r="S45" s="118">
        <f>'Lodge &amp; Pool'!I39</f>
        <v>200</v>
      </c>
      <c r="T45" s="118">
        <f>'Lodge &amp; Pool'!J39</f>
        <v>200</v>
      </c>
      <c r="U45" s="118">
        <f>'Lodge &amp; Pool'!K39</f>
        <v>100</v>
      </c>
      <c r="V45" s="118">
        <f>'Lodge &amp; Pool'!L39</f>
        <v>0</v>
      </c>
      <c r="W45" s="118">
        <f>'Lodge &amp; Pool'!M39</f>
        <v>0</v>
      </c>
      <c r="X45" s="118">
        <f>'Lodge &amp; Pool'!N39</f>
        <v>0</v>
      </c>
      <c r="Y45" s="130">
        <f t="shared" si="1"/>
        <v>2000</v>
      </c>
      <c r="Z45" s="113">
        <f t="shared" si="10"/>
        <v>0</v>
      </c>
      <c r="AA45" s="100">
        <f>+'General Fund'!Y45+'Road Fund'!Y45+'Lake Fund'!Y45+'Emergency Fund'!Y45-Y45</f>
        <v>0</v>
      </c>
    </row>
    <row r="46" spans="1:27" x14ac:dyDescent="0.25">
      <c r="A46" s="107"/>
      <c r="B46" s="107"/>
      <c r="C46" s="107"/>
      <c r="D46" s="107"/>
      <c r="E46" s="107"/>
      <c r="F46" s="132" t="s">
        <v>8</v>
      </c>
      <c r="G46" s="107"/>
      <c r="H46" s="118">
        <f>'Lodge &amp; Pool'!M11</f>
        <v>200</v>
      </c>
      <c r="I46" s="118">
        <f>'Lodge &amp; Pool'!N11</f>
        <v>202.99999999999997</v>
      </c>
      <c r="J46" s="118">
        <f>'Lodge &amp; Pool'!O11</f>
        <v>206.04499999999996</v>
      </c>
      <c r="K46" s="118">
        <f>'Lodge &amp; Pool'!P11</f>
        <v>209.13567499999994</v>
      </c>
      <c r="L46" s="118">
        <f>'Lodge &amp; Pool'!Q11</f>
        <v>212.27271012499992</v>
      </c>
      <c r="M46" s="118">
        <f>'Lodge &amp; Pool'!C40</f>
        <v>15</v>
      </c>
      <c r="N46" s="118">
        <f>'Lodge &amp; Pool'!D40</f>
        <v>15</v>
      </c>
      <c r="O46" s="118">
        <f>'Lodge &amp; Pool'!E40</f>
        <v>15</v>
      </c>
      <c r="P46" s="118">
        <f>'Lodge &amp; Pool'!F40</f>
        <v>15</v>
      </c>
      <c r="Q46" s="118">
        <f>'Lodge &amp; Pool'!G40</f>
        <v>15</v>
      </c>
      <c r="R46" s="118">
        <f>'Lodge &amp; Pool'!H40</f>
        <v>15</v>
      </c>
      <c r="S46" s="118">
        <f>'Lodge &amp; Pool'!I40</f>
        <v>15</v>
      </c>
      <c r="T46" s="118">
        <f>'Lodge &amp; Pool'!J40</f>
        <v>15</v>
      </c>
      <c r="U46" s="118">
        <f>'Lodge &amp; Pool'!K40</f>
        <v>15</v>
      </c>
      <c r="V46" s="118">
        <f>'Lodge &amp; Pool'!L40</f>
        <v>15</v>
      </c>
      <c r="W46" s="118">
        <f>'Lodge &amp; Pool'!M40</f>
        <v>15</v>
      </c>
      <c r="X46" s="118">
        <f>'Lodge &amp; Pool'!N40</f>
        <v>35</v>
      </c>
      <c r="Y46" s="130">
        <f t="shared" si="1"/>
        <v>200</v>
      </c>
      <c r="Z46" s="113">
        <f t="shared" si="10"/>
        <v>0</v>
      </c>
      <c r="AA46" s="100">
        <f>+'General Fund'!Y46+'Road Fund'!Y46+'Lake Fund'!Y46+'Emergency Fund'!Y46-Y46</f>
        <v>0</v>
      </c>
    </row>
    <row r="47" spans="1:27" x14ac:dyDescent="0.25">
      <c r="A47" s="107"/>
      <c r="B47" s="107"/>
      <c r="C47" s="107"/>
      <c r="D47" s="107"/>
      <c r="E47" s="107"/>
      <c r="F47" s="132" t="s">
        <v>9</v>
      </c>
      <c r="G47" s="107"/>
      <c r="H47" s="118">
        <f>'Lodge &amp; Pool'!M12</f>
        <v>0</v>
      </c>
      <c r="I47" s="118">
        <f>'Lodge &amp; Pool'!N12</f>
        <v>0</v>
      </c>
      <c r="J47" s="118">
        <f>'Lodge &amp; Pool'!O12</f>
        <v>0</v>
      </c>
      <c r="K47" s="118">
        <f>'Lodge &amp; Pool'!P12</f>
        <v>0</v>
      </c>
      <c r="L47" s="118">
        <f>'Lodge &amp; Pool'!Q12</f>
        <v>0</v>
      </c>
      <c r="M47" s="118">
        <f>'Lodge &amp; Pool'!C41</f>
        <v>0</v>
      </c>
      <c r="N47" s="118">
        <f>'Lodge &amp; Pool'!D41</f>
        <v>0</v>
      </c>
      <c r="O47" s="118">
        <f>'Lodge &amp; Pool'!E41</f>
        <v>0</v>
      </c>
      <c r="P47" s="118">
        <f>'Lodge &amp; Pool'!F41</f>
        <v>0</v>
      </c>
      <c r="Q47" s="118">
        <f>'Lodge &amp; Pool'!G41</f>
        <v>0</v>
      </c>
      <c r="R47" s="118">
        <f>'Lodge &amp; Pool'!H41</f>
        <v>0</v>
      </c>
      <c r="S47" s="118">
        <f>'Lodge &amp; Pool'!I41</f>
        <v>0</v>
      </c>
      <c r="T47" s="118">
        <f>'Lodge &amp; Pool'!J41</f>
        <v>0</v>
      </c>
      <c r="U47" s="118">
        <f>'Lodge &amp; Pool'!K41</f>
        <v>0</v>
      </c>
      <c r="V47" s="118">
        <f>'Lodge &amp; Pool'!L41</f>
        <v>0</v>
      </c>
      <c r="W47" s="118">
        <f>'Lodge &amp; Pool'!M41</f>
        <v>0</v>
      </c>
      <c r="X47" s="118">
        <f>'Lodge &amp; Pool'!N41</f>
        <v>0</v>
      </c>
      <c r="Y47" s="130">
        <f t="shared" si="1"/>
        <v>0</v>
      </c>
      <c r="Z47" s="113">
        <f t="shared" si="10"/>
        <v>0</v>
      </c>
      <c r="AA47" s="100">
        <f>+'General Fund'!Y47+'Road Fund'!Y47+'Lake Fund'!Y47+'Emergency Fund'!Y47-Y47</f>
        <v>0</v>
      </c>
    </row>
    <row r="48" spans="1:27" x14ac:dyDescent="0.25">
      <c r="A48" s="107"/>
      <c r="B48" s="107"/>
      <c r="C48" s="107"/>
      <c r="D48" s="107"/>
      <c r="E48" s="107"/>
      <c r="F48" s="132" t="s">
        <v>10</v>
      </c>
      <c r="G48" s="107"/>
      <c r="H48" s="118">
        <f>'Lodge &amp; Pool'!M13</f>
        <v>300</v>
      </c>
      <c r="I48" s="118">
        <f>'Lodge &amp; Pool'!N13</f>
        <v>309</v>
      </c>
      <c r="J48" s="118">
        <f>'Lodge &amp; Pool'!O13</f>
        <v>318.27</v>
      </c>
      <c r="K48" s="118">
        <f>'Lodge &amp; Pool'!P13</f>
        <v>327.81810000000002</v>
      </c>
      <c r="L48" s="118">
        <f>'Lodge &amp; Pool'!Q13</f>
        <v>337.65264300000001</v>
      </c>
      <c r="M48" s="118">
        <f>'Lodge &amp; Pool'!C42</f>
        <v>0</v>
      </c>
      <c r="N48" s="118">
        <f>'Lodge &amp; Pool'!D42</f>
        <v>0</v>
      </c>
      <c r="O48" s="118">
        <f>'Lodge &amp; Pool'!E42</f>
        <v>0</v>
      </c>
      <c r="P48" s="118">
        <f>'Lodge &amp; Pool'!F42</f>
        <v>0</v>
      </c>
      <c r="Q48" s="118">
        <f>'Lodge &amp; Pool'!G42</f>
        <v>0</v>
      </c>
      <c r="R48" s="118">
        <f>'Lodge &amp; Pool'!H42</f>
        <v>0</v>
      </c>
      <c r="S48" s="118">
        <f>'Lodge &amp; Pool'!I42</f>
        <v>300</v>
      </c>
      <c r="T48" s="118">
        <f>'Lodge &amp; Pool'!J42</f>
        <v>0</v>
      </c>
      <c r="U48" s="118">
        <f>'Lodge &amp; Pool'!K42</f>
        <v>0</v>
      </c>
      <c r="V48" s="118">
        <f>'Lodge &amp; Pool'!L42</f>
        <v>0</v>
      </c>
      <c r="W48" s="118">
        <f>'Lodge &amp; Pool'!M42</f>
        <v>0</v>
      </c>
      <c r="X48" s="118">
        <f>'Lodge &amp; Pool'!N42</f>
        <v>0</v>
      </c>
      <c r="Y48" s="130">
        <f t="shared" si="1"/>
        <v>300</v>
      </c>
      <c r="Z48" s="113">
        <f t="shared" si="10"/>
        <v>0</v>
      </c>
      <c r="AA48" s="100">
        <f>+'General Fund'!Y48+'Road Fund'!Y48+'Lake Fund'!Y48+'Emergency Fund'!Y48-Y48</f>
        <v>0</v>
      </c>
    </row>
    <row r="49" spans="1:27" x14ac:dyDescent="0.25">
      <c r="A49" s="107"/>
      <c r="B49" s="107"/>
      <c r="C49" s="107"/>
      <c r="D49" s="107"/>
      <c r="E49" s="107"/>
      <c r="F49" s="132" t="s">
        <v>11</v>
      </c>
      <c r="G49" s="107"/>
      <c r="H49" s="118">
        <f>'Lodge &amp; Pool'!M14</f>
        <v>2000</v>
      </c>
      <c r="I49" s="118">
        <f>'Lodge &amp; Pool'!N14</f>
        <v>2029.9999999999998</v>
      </c>
      <c r="J49" s="118">
        <f>'Lodge &amp; Pool'!O14</f>
        <v>2060.4499999999994</v>
      </c>
      <c r="K49" s="118">
        <f>'Lodge &amp; Pool'!P14</f>
        <v>2091.356749999999</v>
      </c>
      <c r="L49" s="118">
        <f>'Lodge &amp; Pool'!Q14</f>
        <v>2122.7271012499987</v>
      </c>
      <c r="M49" s="118">
        <f>'Lodge &amp; Pool'!C43</f>
        <v>0</v>
      </c>
      <c r="N49" s="118">
        <f>'Lodge &amp; Pool'!D43</f>
        <v>0</v>
      </c>
      <c r="O49" s="118">
        <f>'Lodge &amp; Pool'!E43</f>
        <v>0</v>
      </c>
      <c r="P49" s="118">
        <f>'Lodge &amp; Pool'!F43</f>
        <v>0</v>
      </c>
      <c r="Q49" s="118">
        <f>'Lodge &amp; Pool'!G43</f>
        <v>1000</v>
      </c>
      <c r="R49" s="118">
        <f>'Lodge &amp; Pool'!H43</f>
        <v>0</v>
      </c>
      <c r="S49" s="118">
        <f>'Lodge &amp; Pool'!I43</f>
        <v>1000</v>
      </c>
      <c r="T49" s="118">
        <f>'Lodge &amp; Pool'!J43</f>
        <v>0</v>
      </c>
      <c r="U49" s="118">
        <f>'Lodge &amp; Pool'!K43</f>
        <v>0</v>
      </c>
      <c r="V49" s="118">
        <f>'Lodge &amp; Pool'!L43</f>
        <v>0</v>
      </c>
      <c r="W49" s="118">
        <f>'Lodge &amp; Pool'!M43</f>
        <v>0</v>
      </c>
      <c r="X49" s="118">
        <f>'Lodge &amp; Pool'!N43</f>
        <v>0</v>
      </c>
      <c r="Y49" s="130">
        <f t="shared" si="1"/>
        <v>2000</v>
      </c>
      <c r="Z49" s="113">
        <f t="shared" si="10"/>
        <v>0</v>
      </c>
      <c r="AA49" s="100">
        <f>+'General Fund'!Y49+'Road Fund'!Y49+'Lake Fund'!Y49+'Emergency Fund'!Y49-Y49</f>
        <v>0</v>
      </c>
    </row>
    <row r="50" spans="1:27" x14ac:dyDescent="0.25">
      <c r="A50" s="107"/>
      <c r="B50" s="107"/>
      <c r="C50" s="107"/>
      <c r="D50" s="107"/>
      <c r="E50" s="107"/>
      <c r="F50" s="132" t="s">
        <v>12</v>
      </c>
      <c r="G50" s="107"/>
      <c r="H50" s="118">
        <f>'Lodge &amp; Pool'!M15</f>
        <v>8000</v>
      </c>
      <c r="I50" s="118">
        <f>'Lodge &amp; Pool'!N15</f>
        <v>8240</v>
      </c>
      <c r="J50" s="118">
        <f>'Lodge &amp; Pool'!O15</f>
        <v>8487.2000000000007</v>
      </c>
      <c r="K50" s="118">
        <f>'Lodge &amp; Pool'!P15</f>
        <v>8741.8160000000007</v>
      </c>
      <c r="L50" s="118">
        <f>'Lodge &amp; Pool'!Q15</f>
        <v>9004.0704800000003</v>
      </c>
      <c r="M50" s="118">
        <f>'Lodge &amp; Pool'!C44</f>
        <v>0</v>
      </c>
      <c r="N50" s="118">
        <f>'Lodge &amp; Pool'!D44</f>
        <v>0</v>
      </c>
      <c r="O50" s="118">
        <f>'Lodge &amp; Pool'!E44</f>
        <v>0</v>
      </c>
      <c r="P50" s="118">
        <f>'Lodge &amp; Pool'!F44</f>
        <v>0</v>
      </c>
      <c r="Q50" s="118">
        <f>'Lodge &amp; Pool'!G44</f>
        <v>1000</v>
      </c>
      <c r="R50" s="118">
        <f>'Lodge &amp; Pool'!H44</f>
        <v>2500</v>
      </c>
      <c r="S50" s="118">
        <f>'Lodge &amp; Pool'!I44</f>
        <v>2500</v>
      </c>
      <c r="T50" s="118">
        <f>'Lodge &amp; Pool'!J44</f>
        <v>2000</v>
      </c>
      <c r="U50" s="118">
        <f>'Lodge &amp; Pool'!K44</f>
        <v>0</v>
      </c>
      <c r="V50" s="118">
        <f>'Lodge &amp; Pool'!L44</f>
        <v>0</v>
      </c>
      <c r="W50" s="118">
        <f>'Lodge &amp; Pool'!M44</f>
        <v>0</v>
      </c>
      <c r="X50" s="118">
        <f>'Lodge &amp; Pool'!N44</f>
        <v>0</v>
      </c>
      <c r="Y50" s="130">
        <f t="shared" si="1"/>
        <v>8000</v>
      </c>
      <c r="Z50" s="113">
        <f t="shared" si="10"/>
        <v>0</v>
      </c>
      <c r="AA50" s="100">
        <f>+'General Fund'!Y50+'Road Fund'!Y50+'Lake Fund'!Y50+'Emergency Fund'!Y50-Y50</f>
        <v>0</v>
      </c>
    </row>
    <row r="51" spans="1:27" x14ac:dyDescent="0.25">
      <c r="A51" s="107"/>
      <c r="B51" s="107"/>
      <c r="C51" s="107"/>
      <c r="D51" s="107"/>
      <c r="E51" s="107"/>
      <c r="F51" s="132" t="s">
        <v>13</v>
      </c>
      <c r="G51" s="107"/>
      <c r="H51" s="118">
        <f>'Lodge &amp; Pool'!M16</f>
        <v>9500</v>
      </c>
      <c r="I51" s="118">
        <f>'Lodge &amp; Pool'!N16</f>
        <v>13500</v>
      </c>
      <c r="J51" s="118">
        <f>'Lodge &amp; Pool'!O16</f>
        <v>28500</v>
      </c>
      <c r="K51" s="118">
        <f>'Lodge &amp; Pool'!P16</f>
        <v>8000</v>
      </c>
      <c r="L51" s="118">
        <f>'Lodge &amp; Pool'!Q16</f>
        <v>3500</v>
      </c>
      <c r="M51" s="118">
        <f>'Lodge &amp; Pool'!C45</f>
        <v>0</v>
      </c>
      <c r="N51" s="118">
        <f>'Lodge &amp; Pool'!D45</f>
        <v>0</v>
      </c>
      <c r="O51" s="118">
        <f>'Lodge &amp; Pool'!E45</f>
        <v>0</v>
      </c>
      <c r="P51" s="118">
        <f>'Lodge &amp; Pool'!F45</f>
        <v>0</v>
      </c>
      <c r="Q51" s="118">
        <f>'Lodge &amp; Pool'!G45</f>
        <v>9500</v>
      </c>
      <c r="R51" s="118">
        <f>'Lodge &amp; Pool'!H45</f>
        <v>0</v>
      </c>
      <c r="S51" s="118">
        <f>'Lodge &amp; Pool'!I45</f>
        <v>0</v>
      </c>
      <c r="T51" s="118">
        <f>'Lodge &amp; Pool'!J45</f>
        <v>0</v>
      </c>
      <c r="U51" s="118">
        <f>'Lodge &amp; Pool'!K45</f>
        <v>0</v>
      </c>
      <c r="V51" s="118">
        <f>'Lodge &amp; Pool'!L45</f>
        <v>0</v>
      </c>
      <c r="W51" s="118">
        <f>'Lodge &amp; Pool'!M45</f>
        <v>0</v>
      </c>
      <c r="X51" s="118">
        <f>'Lodge &amp; Pool'!N45</f>
        <v>0</v>
      </c>
      <c r="Y51" s="130">
        <f t="shared" si="1"/>
        <v>9500</v>
      </c>
      <c r="Z51" s="113">
        <f t="shared" si="10"/>
        <v>0</v>
      </c>
      <c r="AA51" s="100">
        <f>+'General Fund'!Y51+'Road Fund'!Y51+'Lake Fund'!Y51+'Emergency Fund'!Y51-Y51</f>
        <v>0</v>
      </c>
    </row>
    <row r="52" spans="1:27" x14ac:dyDescent="0.25">
      <c r="A52" s="107"/>
      <c r="B52" s="107"/>
      <c r="C52" s="107"/>
      <c r="D52" s="107"/>
      <c r="E52" s="107"/>
      <c r="F52" s="132" t="s">
        <v>14</v>
      </c>
      <c r="G52" s="107"/>
      <c r="H52" s="118">
        <f>'Lodge &amp; Pool'!M17</f>
        <v>0</v>
      </c>
      <c r="I52" s="118">
        <f>'Lodge &amp; Pool'!N17</f>
        <v>0</v>
      </c>
      <c r="J52" s="118">
        <f>'Lodge &amp; Pool'!O17</f>
        <v>0</v>
      </c>
      <c r="K52" s="118">
        <f>'Lodge &amp; Pool'!P17</f>
        <v>0</v>
      </c>
      <c r="L52" s="118">
        <f>'Lodge &amp; Pool'!Q17</f>
        <v>0</v>
      </c>
      <c r="M52" s="118">
        <f>'Lodge &amp; Pool'!C46</f>
        <v>0</v>
      </c>
      <c r="N52" s="118">
        <f>'Lodge &amp; Pool'!D46</f>
        <v>0</v>
      </c>
      <c r="O52" s="118">
        <f>'Lodge &amp; Pool'!E46</f>
        <v>0</v>
      </c>
      <c r="P52" s="118">
        <f>'Lodge &amp; Pool'!F46</f>
        <v>0</v>
      </c>
      <c r="Q52" s="118">
        <f>'Lodge &amp; Pool'!G46</f>
        <v>0</v>
      </c>
      <c r="R52" s="118">
        <f>'Lodge &amp; Pool'!H46</f>
        <v>0</v>
      </c>
      <c r="S52" s="118">
        <f>'Lodge &amp; Pool'!I46</f>
        <v>0</v>
      </c>
      <c r="T52" s="118">
        <f>'Lodge &amp; Pool'!J46</f>
        <v>0</v>
      </c>
      <c r="U52" s="118">
        <f>'Lodge &amp; Pool'!K46</f>
        <v>0</v>
      </c>
      <c r="V52" s="118">
        <f>'Lodge &amp; Pool'!L46</f>
        <v>0</v>
      </c>
      <c r="W52" s="118">
        <f>'Lodge &amp; Pool'!M46</f>
        <v>0</v>
      </c>
      <c r="X52" s="118">
        <f>'Lodge &amp; Pool'!N46</f>
        <v>0</v>
      </c>
      <c r="Y52" s="130">
        <f t="shared" si="1"/>
        <v>0</v>
      </c>
      <c r="Z52" s="113">
        <f t="shared" si="10"/>
        <v>0</v>
      </c>
      <c r="AA52" s="100">
        <f>+'General Fund'!Y52+'Road Fund'!Y52+'Lake Fund'!Y52+'Emergency Fund'!Y52-Y52</f>
        <v>0</v>
      </c>
    </row>
    <row r="53" spans="1:27" x14ac:dyDescent="0.25">
      <c r="A53" s="107"/>
      <c r="B53" s="107"/>
      <c r="C53" s="107"/>
      <c r="D53" s="107"/>
      <c r="E53" s="107"/>
      <c r="F53" s="132" t="s">
        <v>15</v>
      </c>
      <c r="G53" s="107"/>
      <c r="H53" s="118">
        <f>'Lodge &amp; Pool'!M18</f>
        <v>0</v>
      </c>
      <c r="I53" s="118">
        <f>'Lodge &amp; Pool'!N18</f>
        <v>0</v>
      </c>
      <c r="J53" s="118">
        <f>'Lodge &amp; Pool'!O18</f>
        <v>0</v>
      </c>
      <c r="K53" s="118">
        <f>'Lodge &amp; Pool'!P18</f>
        <v>0</v>
      </c>
      <c r="L53" s="118">
        <f>'Lodge &amp; Pool'!Q18</f>
        <v>0</v>
      </c>
      <c r="M53" s="118">
        <f>'Lodge &amp; Pool'!C47</f>
        <v>0</v>
      </c>
      <c r="N53" s="118">
        <f>'Lodge &amp; Pool'!D47</f>
        <v>0</v>
      </c>
      <c r="O53" s="118">
        <f>'Lodge &amp; Pool'!E47</f>
        <v>0</v>
      </c>
      <c r="P53" s="118">
        <f>'Lodge &amp; Pool'!F47</f>
        <v>0</v>
      </c>
      <c r="Q53" s="118">
        <f>'Lodge &amp; Pool'!G47</f>
        <v>0</v>
      </c>
      <c r="R53" s="118">
        <f>'Lodge &amp; Pool'!H47</f>
        <v>0</v>
      </c>
      <c r="S53" s="118">
        <f>'Lodge &amp; Pool'!I47</f>
        <v>0</v>
      </c>
      <c r="T53" s="118">
        <f>'Lodge &amp; Pool'!J47</f>
        <v>0</v>
      </c>
      <c r="U53" s="118">
        <f>'Lodge &amp; Pool'!K47</f>
        <v>0</v>
      </c>
      <c r="V53" s="118">
        <f>'Lodge &amp; Pool'!L47</f>
        <v>0</v>
      </c>
      <c r="W53" s="118">
        <f>'Lodge &amp; Pool'!M47</f>
        <v>0</v>
      </c>
      <c r="X53" s="118">
        <f>'Lodge &amp; Pool'!N47</f>
        <v>0</v>
      </c>
      <c r="Y53" s="130">
        <f t="shared" si="1"/>
        <v>0</v>
      </c>
      <c r="Z53" s="113">
        <f t="shared" si="10"/>
        <v>0</v>
      </c>
      <c r="AA53" s="100">
        <f>+'General Fund'!Y53+'Road Fund'!Y53+'Lake Fund'!Y53+'Emergency Fund'!Y53-Y53</f>
        <v>0</v>
      </c>
    </row>
    <row r="54" spans="1:27" x14ac:dyDescent="0.25">
      <c r="A54" s="107"/>
      <c r="B54" s="107"/>
      <c r="C54" s="107"/>
      <c r="D54" s="107"/>
      <c r="E54" s="107"/>
      <c r="F54" s="132" t="s">
        <v>16</v>
      </c>
      <c r="G54" s="107"/>
      <c r="H54" s="118">
        <f>'Lodge &amp; Pool'!M19</f>
        <v>0</v>
      </c>
      <c r="I54" s="118">
        <f>'Lodge &amp; Pool'!N19</f>
        <v>0</v>
      </c>
      <c r="J54" s="118">
        <f>'Lodge &amp; Pool'!O19</f>
        <v>0</v>
      </c>
      <c r="K54" s="118">
        <f>'Lodge &amp; Pool'!P19</f>
        <v>0</v>
      </c>
      <c r="L54" s="118">
        <f>'Lodge &amp; Pool'!Q19</f>
        <v>0</v>
      </c>
      <c r="M54" s="118">
        <f>'Lodge &amp; Pool'!C48</f>
        <v>0</v>
      </c>
      <c r="N54" s="118">
        <f>'Lodge &amp; Pool'!D48</f>
        <v>0</v>
      </c>
      <c r="O54" s="118">
        <f>'Lodge &amp; Pool'!E48</f>
        <v>0</v>
      </c>
      <c r="P54" s="118">
        <f>'Lodge &amp; Pool'!F48</f>
        <v>0</v>
      </c>
      <c r="Q54" s="118">
        <f>'Lodge &amp; Pool'!G48</f>
        <v>0</v>
      </c>
      <c r="R54" s="118">
        <f>'Lodge &amp; Pool'!H48</f>
        <v>0</v>
      </c>
      <c r="S54" s="118">
        <f>'Lodge &amp; Pool'!I48</f>
        <v>0</v>
      </c>
      <c r="T54" s="118">
        <f>'Lodge &amp; Pool'!J48</f>
        <v>0</v>
      </c>
      <c r="U54" s="118">
        <f>'Lodge &amp; Pool'!K48</f>
        <v>0</v>
      </c>
      <c r="V54" s="118">
        <f>'Lodge &amp; Pool'!L48</f>
        <v>0</v>
      </c>
      <c r="W54" s="118">
        <f>'Lodge &amp; Pool'!M48</f>
        <v>0</v>
      </c>
      <c r="X54" s="118">
        <f>'Lodge &amp; Pool'!N48</f>
        <v>0</v>
      </c>
      <c r="Y54" s="130">
        <f t="shared" si="1"/>
        <v>0</v>
      </c>
      <c r="Z54" s="113">
        <f t="shared" si="10"/>
        <v>0</v>
      </c>
      <c r="AA54" s="100">
        <f>+'General Fund'!Y54+'Road Fund'!Y54+'Lake Fund'!Y54+'Emergency Fund'!Y54-Y54</f>
        <v>0</v>
      </c>
    </row>
    <row r="55" spans="1:27" x14ac:dyDescent="0.25">
      <c r="A55" s="107"/>
      <c r="B55" s="107"/>
      <c r="C55" s="107"/>
      <c r="D55" s="107"/>
      <c r="E55" s="107"/>
      <c r="F55" s="132" t="s">
        <v>17</v>
      </c>
      <c r="G55" s="107"/>
      <c r="H55" s="118">
        <f>'Lodge &amp; Pool'!M20</f>
        <v>2000</v>
      </c>
      <c r="I55" s="118">
        <f>'Lodge &amp; Pool'!N20</f>
        <v>2060</v>
      </c>
      <c r="J55" s="118">
        <f>'Lodge &amp; Pool'!O20</f>
        <v>2121.8000000000002</v>
      </c>
      <c r="K55" s="118">
        <f>'Lodge &amp; Pool'!P20</f>
        <v>2185.4540000000002</v>
      </c>
      <c r="L55" s="118">
        <f>'Lodge &amp; Pool'!Q20</f>
        <v>2251.0176200000001</v>
      </c>
      <c r="M55" s="118">
        <f>'Lodge &amp; Pool'!C49</f>
        <v>0</v>
      </c>
      <c r="N55" s="118">
        <f>'Lodge &amp; Pool'!D49</f>
        <v>0</v>
      </c>
      <c r="O55" s="118">
        <f>'Lodge &amp; Pool'!E49</f>
        <v>0</v>
      </c>
      <c r="P55" s="118">
        <f>'Lodge &amp; Pool'!F49</f>
        <v>0</v>
      </c>
      <c r="Q55" s="118">
        <f>'Lodge &amp; Pool'!G49</f>
        <v>100</v>
      </c>
      <c r="R55" s="118">
        <f>'Lodge &amp; Pool'!H49</f>
        <v>800</v>
      </c>
      <c r="S55" s="118">
        <f>'Lodge &amp; Pool'!I49</f>
        <v>800</v>
      </c>
      <c r="T55" s="118">
        <f>'Lodge &amp; Pool'!J49</f>
        <v>300</v>
      </c>
      <c r="U55" s="118">
        <f>'Lodge &amp; Pool'!K49</f>
        <v>0</v>
      </c>
      <c r="V55" s="118">
        <f>'Lodge &amp; Pool'!L49</f>
        <v>0</v>
      </c>
      <c r="W55" s="118">
        <f>'Lodge &amp; Pool'!M49</f>
        <v>0</v>
      </c>
      <c r="X55" s="118">
        <f>'Lodge &amp; Pool'!N49</f>
        <v>0</v>
      </c>
      <c r="Y55" s="130">
        <f t="shared" si="1"/>
        <v>2000</v>
      </c>
      <c r="Z55" s="113">
        <f t="shared" si="10"/>
        <v>0</v>
      </c>
      <c r="AA55" s="100">
        <f>+'General Fund'!Y55+'Road Fund'!Y55+'Lake Fund'!Y55+'Emergency Fund'!Y55-Y55</f>
        <v>0</v>
      </c>
    </row>
    <row r="56" spans="1:27" x14ac:dyDescent="0.25">
      <c r="A56" s="107"/>
      <c r="B56" s="107"/>
      <c r="C56" s="107"/>
      <c r="D56" s="107"/>
      <c r="E56" s="107"/>
      <c r="F56" s="132" t="s">
        <v>18</v>
      </c>
      <c r="G56" s="107"/>
      <c r="H56" s="118">
        <f>'Lodge &amp; Pool'!M21</f>
        <v>0</v>
      </c>
      <c r="I56" s="118">
        <f>'Lodge &amp; Pool'!N21</f>
        <v>0</v>
      </c>
      <c r="J56" s="118">
        <f>'Lodge &amp; Pool'!O21</f>
        <v>0</v>
      </c>
      <c r="K56" s="118">
        <f>'Lodge &amp; Pool'!P21</f>
        <v>0</v>
      </c>
      <c r="L56" s="118">
        <f>'Lodge &amp; Pool'!Q21</f>
        <v>0</v>
      </c>
      <c r="M56" s="118">
        <f>'Lodge &amp; Pool'!C50</f>
        <v>0</v>
      </c>
      <c r="N56" s="118">
        <f>'Lodge &amp; Pool'!D50</f>
        <v>0</v>
      </c>
      <c r="O56" s="118">
        <f>'Lodge &amp; Pool'!E50</f>
        <v>0</v>
      </c>
      <c r="P56" s="118">
        <f>'Lodge &amp; Pool'!F50</f>
        <v>0</v>
      </c>
      <c r="Q56" s="118">
        <f>'Lodge &amp; Pool'!G50</f>
        <v>0</v>
      </c>
      <c r="R56" s="118">
        <f>'Lodge &amp; Pool'!H50</f>
        <v>0</v>
      </c>
      <c r="S56" s="118">
        <f>'Lodge &amp; Pool'!I50</f>
        <v>0</v>
      </c>
      <c r="T56" s="118">
        <f>'Lodge &amp; Pool'!J50</f>
        <v>0</v>
      </c>
      <c r="U56" s="118">
        <f>'Lodge &amp; Pool'!K50</f>
        <v>0</v>
      </c>
      <c r="V56" s="118">
        <f>'Lodge &amp; Pool'!L50</f>
        <v>0</v>
      </c>
      <c r="W56" s="118">
        <f>'Lodge &amp; Pool'!M50</f>
        <v>0</v>
      </c>
      <c r="X56" s="118">
        <f>'Lodge &amp; Pool'!N50</f>
        <v>0</v>
      </c>
      <c r="Y56" s="130">
        <f t="shared" si="1"/>
        <v>0</v>
      </c>
      <c r="Z56" s="113">
        <f t="shared" si="10"/>
        <v>0</v>
      </c>
      <c r="AA56" s="100">
        <f>+'General Fund'!Y56+'Road Fund'!Y56+'Lake Fund'!Y56+'Emergency Fund'!Y56-Y56</f>
        <v>0</v>
      </c>
    </row>
    <row r="57" spans="1:27" x14ac:dyDescent="0.25">
      <c r="A57" s="107"/>
      <c r="B57" s="107"/>
      <c r="C57" s="107"/>
      <c r="D57" s="107"/>
      <c r="E57" s="107"/>
      <c r="F57" s="132" t="s">
        <v>19</v>
      </c>
      <c r="G57" s="107"/>
      <c r="H57" s="118">
        <f>'Lodge &amp; Pool'!M22</f>
        <v>2210</v>
      </c>
      <c r="I57" s="118">
        <f>'Lodge &amp; Pool'!N22</f>
        <v>2276.3000000000002</v>
      </c>
      <c r="J57" s="118">
        <f>'Lodge &amp; Pool'!O22</f>
        <v>2344.5890000000004</v>
      </c>
      <c r="K57" s="118">
        <f>'Lodge &amp; Pool'!P22</f>
        <v>2414.9266700000003</v>
      </c>
      <c r="L57" s="118">
        <f>'Lodge &amp; Pool'!Q22</f>
        <v>2487.3744701000005</v>
      </c>
      <c r="M57" s="118">
        <f>'Lodge &amp; Pool'!C51</f>
        <v>170</v>
      </c>
      <c r="N57" s="118">
        <f>'Lodge &amp; Pool'!D51</f>
        <v>170</v>
      </c>
      <c r="O57" s="118">
        <f>'Lodge &amp; Pool'!E51</f>
        <v>160</v>
      </c>
      <c r="P57" s="118">
        <f>'Lodge &amp; Pool'!F51</f>
        <v>160</v>
      </c>
      <c r="Q57" s="118">
        <f>'Lodge &amp; Pool'!G51</f>
        <v>170</v>
      </c>
      <c r="R57" s="118">
        <f>'Lodge &amp; Pool'!H51</f>
        <v>170</v>
      </c>
      <c r="S57" s="118">
        <f>'Lodge &amp; Pool'!I51</f>
        <v>170</v>
      </c>
      <c r="T57" s="118">
        <f>'Lodge &amp; Pool'!J51</f>
        <v>170</v>
      </c>
      <c r="U57" s="118">
        <f>'Lodge &amp; Pool'!K51</f>
        <v>170</v>
      </c>
      <c r="V57" s="118">
        <f>'Lodge &amp; Pool'!L51</f>
        <v>170</v>
      </c>
      <c r="W57" s="118">
        <f>'Lodge &amp; Pool'!M51</f>
        <v>180</v>
      </c>
      <c r="X57" s="118">
        <f>'Lodge &amp; Pool'!N51</f>
        <v>350</v>
      </c>
      <c r="Y57" s="130">
        <f t="shared" si="1"/>
        <v>2210</v>
      </c>
      <c r="Z57" s="113">
        <f t="shared" si="10"/>
        <v>0</v>
      </c>
      <c r="AA57" s="100">
        <f>+'General Fund'!Y57+'Road Fund'!Y57+'Lake Fund'!Y57+'Emergency Fund'!Y57-Y57</f>
        <v>0</v>
      </c>
    </row>
    <row r="58" spans="1:27" x14ac:dyDescent="0.25">
      <c r="A58" s="107"/>
      <c r="B58" s="107"/>
      <c r="C58" s="107"/>
      <c r="D58" s="107"/>
      <c r="E58" s="107"/>
      <c r="F58" s="132" t="s">
        <v>20</v>
      </c>
      <c r="G58" s="107"/>
      <c r="H58" s="118">
        <f>'Lodge &amp; Pool'!M23</f>
        <v>0</v>
      </c>
      <c r="I58" s="118">
        <f>'Lodge &amp; Pool'!N23</f>
        <v>0</v>
      </c>
      <c r="J58" s="118">
        <f>'Lodge &amp; Pool'!O23</f>
        <v>0</v>
      </c>
      <c r="K58" s="118">
        <f>'Lodge &amp; Pool'!P23</f>
        <v>0</v>
      </c>
      <c r="L58" s="118">
        <f>'Lodge &amp; Pool'!Q23</f>
        <v>0</v>
      </c>
      <c r="M58" s="118">
        <f>'Lodge &amp; Pool'!C52</f>
        <v>0</v>
      </c>
      <c r="N58" s="118">
        <f>'Lodge &amp; Pool'!D52</f>
        <v>0</v>
      </c>
      <c r="O58" s="118">
        <f>'Lodge &amp; Pool'!E52</f>
        <v>0</v>
      </c>
      <c r="P58" s="118">
        <f>'Lodge &amp; Pool'!F52</f>
        <v>0</v>
      </c>
      <c r="Q58" s="118">
        <f>'Lodge &amp; Pool'!G52</f>
        <v>0</v>
      </c>
      <c r="R58" s="118">
        <f>'Lodge &amp; Pool'!H52</f>
        <v>0</v>
      </c>
      <c r="S58" s="118">
        <f>'Lodge &amp; Pool'!I52</f>
        <v>0</v>
      </c>
      <c r="T58" s="118">
        <f>'Lodge &amp; Pool'!J52</f>
        <v>0</v>
      </c>
      <c r="U58" s="118">
        <f>'Lodge &amp; Pool'!K52</f>
        <v>0</v>
      </c>
      <c r="V58" s="118">
        <f>'Lodge &amp; Pool'!L52</f>
        <v>0</v>
      </c>
      <c r="W58" s="118">
        <f>'Lodge &amp; Pool'!M52</f>
        <v>0</v>
      </c>
      <c r="X58" s="118">
        <f>'Lodge &amp; Pool'!N52</f>
        <v>0</v>
      </c>
      <c r="Y58" s="130">
        <f t="shared" si="1"/>
        <v>0</v>
      </c>
      <c r="Z58" s="113">
        <f t="shared" si="10"/>
        <v>0</v>
      </c>
      <c r="AA58" s="100">
        <f>+'General Fund'!Y58+'Road Fund'!Y58+'Lake Fund'!Y58+'Emergency Fund'!Y58-Y58</f>
        <v>0</v>
      </c>
    </row>
    <row r="59" spans="1:27" x14ac:dyDescent="0.25">
      <c r="A59" s="107"/>
      <c r="B59" s="107"/>
      <c r="C59" s="107"/>
      <c r="D59" s="107"/>
      <c r="E59" s="107"/>
      <c r="F59" s="132" t="s">
        <v>21</v>
      </c>
      <c r="G59" s="107"/>
      <c r="H59" s="118">
        <f>'Lodge &amp; Pool'!M24</f>
        <v>400</v>
      </c>
      <c r="I59" s="118">
        <f>'Lodge &amp; Pool'!N24</f>
        <v>405.99999999999994</v>
      </c>
      <c r="J59" s="118">
        <f>'Lodge &amp; Pool'!O24</f>
        <v>412.08999999999992</v>
      </c>
      <c r="K59" s="118">
        <f>'Lodge &amp; Pool'!P24</f>
        <v>418.27134999999987</v>
      </c>
      <c r="L59" s="118">
        <f>'Lodge &amp; Pool'!Q24</f>
        <v>424.54542024999984</v>
      </c>
      <c r="M59" s="118">
        <f>'Lodge &amp; Pool'!C53</f>
        <v>40</v>
      </c>
      <c r="N59" s="118">
        <f>'Lodge &amp; Pool'!D53</f>
        <v>40</v>
      </c>
      <c r="O59" s="118">
        <f>'Lodge &amp; Pool'!E53</f>
        <v>40</v>
      </c>
      <c r="P59" s="118">
        <f>'Lodge &amp; Pool'!F53</f>
        <v>40</v>
      </c>
      <c r="Q59" s="118">
        <f>'Lodge &amp; Pool'!G53</f>
        <v>40</v>
      </c>
      <c r="R59" s="118">
        <f>'Lodge &amp; Pool'!H53</f>
        <v>0</v>
      </c>
      <c r="S59" s="118">
        <f>'Lodge &amp; Pool'!I53</f>
        <v>40</v>
      </c>
      <c r="T59" s="118">
        <f>'Lodge &amp; Pool'!J53</f>
        <v>40</v>
      </c>
      <c r="U59" s="118">
        <f>'Lodge &amp; Pool'!K53</f>
        <v>40</v>
      </c>
      <c r="V59" s="118">
        <f>'Lodge &amp; Pool'!L53</f>
        <v>40</v>
      </c>
      <c r="W59" s="118">
        <f>'Lodge &amp; Pool'!M53</f>
        <v>0</v>
      </c>
      <c r="X59" s="118">
        <f>'Lodge &amp; Pool'!N53</f>
        <v>40</v>
      </c>
      <c r="Y59" s="130">
        <f t="shared" si="1"/>
        <v>400</v>
      </c>
      <c r="Z59" s="113">
        <f t="shared" si="10"/>
        <v>0</v>
      </c>
      <c r="AA59" s="100">
        <f>+'General Fund'!Y59+'Road Fund'!Y59+'Lake Fund'!Y59+'Emergency Fund'!Y59-Y59</f>
        <v>0</v>
      </c>
    </row>
    <row r="60" spans="1:27" ht="15.75" thickBot="1" x14ac:dyDescent="0.3">
      <c r="A60" s="107"/>
      <c r="B60" s="107"/>
      <c r="C60" s="107"/>
      <c r="D60" s="107"/>
      <c r="E60" s="107"/>
      <c r="F60" s="132" t="s">
        <v>22</v>
      </c>
      <c r="G60" s="107"/>
      <c r="H60" s="134">
        <f>'Lodge &amp; Pool'!M25</f>
        <v>2000</v>
      </c>
      <c r="I60" s="134">
        <f>'Lodge &amp; Pool'!N25</f>
        <v>1000</v>
      </c>
      <c r="J60" s="134">
        <f>'Lodge &amp; Pool'!O25</f>
        <v>1000</v>
      </c>
      <c r="K60" s="134">
        <f>'Lodge &amp; Pool'!P25</f>
        <v>1000</v>
      </c>
      <c r="L60" s="134">
        <f>'Lodge &amp; Pool'!Q25</f>
        <v>1000</v>
      </c>
      <c r="M60" s="134">
        <f>'Lodge &amp; Pool'!C54</f>
        <v>0</v>
      </c>
      <c r="N60" s="134">
        <f>'Lodge &amp; Pool'!D54</f>
        <v>0</v>
      </c>
      <c r="O60" s="134">
        <f>'Lodge &amp; Pool'!E54</f>
        <v>0</v>
      </c>
      <c r="P60" s="134">
        <f>'Lodge &amp; Pool'!F54</f>
        <v>500</v>
      </c>
      <c r="Q60" s="134">
        <f>'Lodge &amp; Pool'!G54</f>
        <v>500</v>
      </c>
      <c r="R60" s="134">
        <f>'Lodge &amp; Pool'!H54</f>
        <v>500</v>
      </c>
      <c r="S60" s="134">
        <f>'Lodge &amp; Pool'!I54</f>
        <v>500</v>
      </c>
      <c r="T60" s="134">
        <f>'Lodge &amp; Pool'!J54</f>
        <v>0</v>
      </c>
      <c r="U60" s="134">
        <f>'Lodge &amp; Pool'!K54</f>
        <v>0</v>
      </c>
      <c r="V60" s="134">
        <f>'Lodge &amp; Pool'!L54</f>
        <v>0</v>
      </c>
      <c r="W60" s="134">
        <f>'Lodge &amp; Pool'!M54</f>
        <v>0</v>
      </c>
      <c r="X60" s="134">
        <f>'Lodge &amp; Pool'!N54</f>
        <v>0</v>
      </c>
      <c r="Y60" s="135">
        <f t="shared" si="1"/>
        <v>2000</v>
      </c>
      <c r="Z60" s="113">
        <f t="shared" si="10"/>
        <v>0</v>
      </c>
      <c r="AA60" s="100">
        <f>+'General Fund'!Y60+'Road Fund'!Y60+'Lake Fund'!Y60+'Emergency Fund'!Y60-Y60</f>
        <v>0</v>
      </c>
    </row>
    <row r="61" spans="1:27" x14ac:dyDescent="0.25">
      <c r="A61" s="107"/>
      <c r="B61" s="107"/>
      <c r="C61" s="107"/>
      <c r="D61" s="107"/>
      <c r="E61" s="107" t="s">
        <v>23</v>
      </c>
      <c r="F61" s="107"/>
      <c r="G61" s="107"/>
      <c r="H61" s="118">
        <f>ROUND(SUM(H39:H60),5)</f>
        <v>42210</v>
      </c>
      <c r="I61" s="118">
        <f t="shared" ref="I61:L61" si="11">ROUND(SUM(I39:I60),5)</f>
        <v>47808.3</v>
      </c>
      <c r="J61" s="118">
        <f t="shared" si="11"/>
        <v>56319.703999999998</v>
      </c>
      <c r="K61" s="118">
        <f t="shared" si="11"/>
        <v>36344.577449999997</v>
      </c>
      <c r="L61" s="118">
        <f t="shared" si="11"/>
        <v>32383.296330000001</v>
      </c>
      <c r="M61" s="118">
        <f t="shared" ref="M61:Y61" si="12">ROUND(SUM(M39:M60),5)</f>
        <v>510</v>
      </c>
      <c r="N61" s="118">
        <f t="shared" si="12"/>
        <v>510</v>
      </c>
      <c r="O61" s="118">
        <f t="shared" si="12"/>
        <v>500</v>
      </c>
      <c r="P61" s="118">
        <f t="shared" si="12"/>
        <v>1000</v>
      </c>
      <c r="Q61" s="118">
        <f t="shared" si="12"/>
        <v>19685</v>
      </c>
      <c r="R61" s="118">
        <f t="shared" si="12"/>
        <v>6045</v>
      </c>
      <c r="S61" s="118">
        <f t="shared" si="12"/>
        <v>7085</v>
      </c>
      <c r="T61" s="118">
        <f t="shared" si="12"/>
        <v>3285</v>
      </c>
      <c r="U61" s="118">
        <f t="shared" si="12"/>
        <v>885</v>
      </c>
      <c r="V61" s="118">
        <f t="shared" si="12"/>
        <v>785</v>
      </c>
      <c r="W61" s="118">
        <f t="shared" si="12"/>
        <v>780</v>
      </c>
      <c r="X61" s="118">
        <f t="shared" si="12"/>
        <v>1140</v>
      </c>
      <c r="Y61" s="118">
        <f t="shared" si="12"/>
        <v>42210</v>
      </c>
      <c r="Z61" s="113">
        <f t="shared" si="10"/>
        <v>0</v>
      </c>
      <c r="AA61" s="100">
        <f>+'General Fund'!Y61+'Road Fund'!Y61+'Lake Fund'!Y61+'Emergency Fund'!Y61-Y61</f>
        <v>0</v>
      </c>
    </row>
    <row r="62" spans="1:27" x14ac:dyDescent="0.25">
      <c r="A62" s="107"/>
      <c r="B62" s="107"/>
      <c r="C62" s="107"/>
      <c r="D62" s="107"/>
      <c r="E62" s="107" t="s">
        <v>161</v>
      </c>
      <c r="F62" s="107"/>
      <c r="G62" s="107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30"/>
    </row>
    <row r="63" spans="1:27" x14ac:dyDescent="0.25">
      <c r="A63" s="107"/>
      <c r="B63" s="107"/>
      <c r="C63" s="107"/>
      <c r="D63" s="107"/>
      <c r="E63" s="107"/>
      <c r="F63" s="107" t="s">
        <v>40</v>
      </c>
      <c r="G63" s="107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30"/>
    </row>
    <row r="64" spans="1:27" x14ac:dyDescent="0.25">
      <c r="A64" s="107"/>
      <c r="B64" s="107"/>
      <c r="C64" s="107"/>
      <c r="D64" s="107"/>
      <c r="E64" s="107"/>
      <c r="F64" s="132" t="s">
        <v>41</v>
      </c>
      <c r="H64" s="118">
        <f>Beach!M4</f>
        <v>200</v>
      </c>
      <c r="I64" s="118">
        <f>Beach!N4</f>
        <v>1200</v>
      </c>
      <c r="J64" s="118">
        <f>Beach!O4</f>
        <v>100</v>
      </c>
      <c r="K64" s="118">
        <f>Beach!P4</f>
        <v>1200</v>
      </c>
      <c r="L64" s="118">
        <f>Beach!Q4</f>
        <v>100</v>
      </c>
      <c r="M64" s="133">
        <f>Beach!C20</f>
        <v>0</v>
      </c>
      <c r="N64" s="133">
        <f>Beach!D20</f>
        <v>0</v>
      </c>
      <c r="O64" s="133">
        <f>Beach!E20</f>
        <v>0</v>
      </c>
      <c r="P64" s="133">
        <f>Beach!F20</f>
        <v>0</v>
      </c>
      <c r="Q64" s="133">
        <f>Beach!G20</f>
        <v>200</v>
      </c>
      <c r="R64" s="133">
        <f>Beach!H20</f>
        <v>0</v>
      </c>
      <c r="S64" s="133">
        <f>Beach!I20</f>
        <v>0</v>
      </c>
      <c r="T64" s="133">
        <f>Beach!J20</f>
        <v>0</v>
      </c>
      <c r="U64" s="133">
        <f>Beach!K20</f>
        <v>0</v>
      </c>
      <c r="V64" s="133">
        <f>Beach!L20</f>
        <v>0</v>
      </c>
      <c r="W64" s="133">
        <f>Beach!M20</f>
        <v>0</v>
      </c>
      <c r="X64" s="133">
        <f>Beach!N20</f>
        <v>0</v>
      </c>
      <c r="Y64" s="130">
        <f t="shared" si="1"/>
        <v>200</v>
      </c>
      <c r="Z64" s="113">
        <f t="shared" ref="Z64:Z74" si="13">ROUND(Y64-H64,0)</f>
        <v>0</v>
      </c>
      <c r="AA64" s="100">
        <f>+'General Fund'!Y64+'Road Fund'!Y64+'Lake Fund'!Y64+'Emergency Fund'!Y64-Y64</f>
        <v>0</v>
      </c>
    </row>
    <row r="65" spans="1:27" x14ac:dyDescent="0.25">
      <c r="A65" s="107"/>
      <c r="B65" s="107"/>
      <c r="C65" s="107"/>
      <c r="D65" s="107"/>
      <c r="E65" s="107"/>
      <c r="F65" s="132" t="s">
        <v>42</v>
      </c>
      <c r="H65" s="118">
        <f>Beach!M5</f>
        <v>1500</v>
      </c>
      <c r="I65" s="118">
        <f>Beach!N5</f>
        <v>1500</v>
      </c>
      <c r="J65" s="118">
        <f>Beach!O5</f>
        <v>250</v>
      </c>
      <c r="K65" s="118">
        <f>Beach!P5</f>
        <v>250</v>
      </c>
      <c r="L65" s="118">
        <f>Beach!Q5</f>
        <v>250</v>
      </c>
      <c r="M65" s="133">
        <f>Beach!C21</f>
        <v>0</v>
      </c>
      <c r="N65" s="133">
        <f>Beach!D21</f>
        <v>0</v>
      </c>
      <c r="O65" s="133">
        <f>Beach!E21</f>
        <v>600</v>
      </c>
      <c r="P65" s="133">
        <f>Beach!F21</f>
        <v>600</v>
      </c>
      <c r="Q65" s="133">
        <f>Beach!G21</f>
        <v>300</v>
      </c>
      <c r="R65" s="133">
        <f>Beach!H21</f>
        <v>0</v>
      </c>
      <c r="S65" s="133">
        <f>Beach!I21</f>
        <v>0</v>
      </c>
      <c r="T65" s="133">
        <f>Beach!J21</f>
        <v>0</v>
      </c>
      <c r="U65" s="133">
        <f>Beach!K21</f>
        <v>0</v>
      </c>
      <c r="V65" s="133">
        <f>Beach!L21</f>
        <v>0</v>
      </c>
      <c r="W65" s="133">
        <f>Beach!M21</f>
        <v>0</v>
      </c>
      <c r="X65" s="133">
        <f>Beach!N21</f>
        <v>0</v>
      </c>
      <c r="Y65" s="130">
        <f t="shared" si="1"/>
        <v>1500</v>
      </c>
      <c r="Z65" s="113">
        <f t="shared" si="13"/>
        <v>0</v>
      </c>
      <c r="AA65" s="100">
        <f>+'General Fund'!Y65+'Road Fund'!Y65+'Lake Fund'!Y65+'Emergency Fund'!Y65-Y65</f>
        <v>0</v>
      </c>
    </row>
    <row r="66" spans="1:27" x14ac:dyDescent="0.25">
      <c r="A66" s="107"/>
      <c r="B66" s="107"/>
      <c r="C66" s="107"/>
      <c r="D66" s="107"/>
      <c r="E66" s="107"/>
      <c r="F66" s="132" t="s">
        <v>43</v>
      </c>
      <c r="H66" s="118">
        <f>Beach!M6</f>
        <v>900</v>
      </c>
      <c r="I66" s="118">
        <f>Beach!N6</f>
        <v>900</v>
      </c>
      <c r="J66" s="118">
        <f>Beach!O6</f>
        <v>250</v>
      </c>
      <c r="K66" s="118">
        <f>Beach!P6</f>
        <v>250</v>
      </c>
      <c r="L66" s="118">
        <f>Beach!Q6</f>
        <v>250</v>
      </c>
      <c r="M66" s="133">
        <f>Beach!C22</f>
        <v>0</v>
      </c>
      <c r="N66" s="133">
        <f>Beach!D22</f>
        <v>0</v>
      </c>
      <c r="O66" s="133">
        <f>Beach!E22</f>
        <v>0</v>
      </c>
      <c r="P66" s="133">
        <f>Beach!F22</f>
        <v>0</v>
      </c>
      <c r="Q66" s="133">
        <f>Beach!G22</f>
        <v>300</v>
      </c>
      <c r="R66" s="133">
        <f>Beach!H22</f>
        <v>300</v>
      </c>
      <c r="S66" s="133">
        <f>Beach!I22</f>
        <v>300</v>
      </c>
      <c r="T66" s="133">
        <f>Beach!J22</f>
        <v>0</v>
      </c>
      <c r="U66" s="133">
        <f>Beach!K22</f>
        <v>0</v>
      </c>
      <c r="V66" s="133">
        <f>Beach!L22</f>
        <v>0</v>
      </c>
      <c r="W66" s="133">
        <f>Beach!M22</f>
        <v>0</v>
      </c>
      <c r="X66" s="133">
        <f>Beach!N22</f>
        <v>0</v>
      </c>
      <c r="Y66" s="130">
        <f t="shared" si="1"/>
        <v>900</v>
      </c>
      <c r="Z66" s="113">
        <f t="shared" si="13"/>
        <v>0</v>
      </c>
      <c r="AA66" s="100">
        <f>+'General Fund'!Y66+'Road Fund'!Y66+'Lake Fund'!Y66+'Emergency Fund'!Y66-Y66</f>
        <v>0</v>
      </c>
    </row>
    <row r="67" spans="1:27" x14ac:dyDescent="0.25">
      <c r="A67" s="107"/>
      <c r="B67" s="107"/>
      <c r="C67" s="107"/>
      <c r="D67" s="107"/>
      <c r="E67" s="107"/>
      <c r="F67" s="132" t="s">
        <v>44</v>
      </c>
      <c r="H67" s="118">
        <f>Beach!M7</f>
        <v>0</v>
      </c>
      <c r="I67" s="118">
        <f>Beach!N7</f>
        <v>0</v>
      </c>
      <c r="J67" s="118">
        <f>Beach!O7</f>
        <v>0</v>
      </c>
      <c r="K67" s="118">
        <f>Beach!P7</f>
        <v>0</v>
      </c>
      <c r="L67" s="118">
        <f>Beach!Q7</f>
        <v>0</v>
      </c>
      <c r="M67" s="133">
        <f>Beach!C23</f>
        <v>0</v>
      </c>
      <c r="N67" s="133">
        <f>Beach!D23</f>
        <v>0</v>
      </c>
      <c r="O67" s="133">
        <f>Beach!E23</f>
        <v>0</v>
      </c>
      <c r="P67" s="133">
        <f>Beach!F23</f>
        <v>0</v>
      </c>
      <c r="Q67" s="133">
        <f>Beach!G23</f>
        <v>0</v>
      </c>
      <c r="R67" s="133">
        <f>Beach!H23</f>
        <v>0</v>
      </c>
      <c r="S67" s="133">
        <f>Beach!I23</f>
        <v>0</v>
      </c>
      <c r="T67" s="133">
        <f>Beach!J23</f>
        <v>0</v>
      </c>
      <c r="U67" s="133">
        <f>Beach!K23</f>
        <v>0</v>
      </c>
      <c r="V67" s="133">
        <f>Beach!L23</f>
        <v>0</v>
      </c>
      <c r="W67" s="133">
        <f>Beach!M23</f>
        <v>0</v>
      </c>
      <c r="X67" s="133">
        <f>Beach!N23</f>
        <v>0</v>
      </c>
      <c r="Y67" s="130">
        <f t="shared" si="1"/>
        <v>0</v>
      </c>
      <c r="Z67" s="113">
        <f t="shared" si="13"/>
        <v>0</v>
      </c>
      <c r="AA67" s="100">
        <f>+'General Fund'!Y67+'Road Fund'!Y67+'Lake Fund'!Y67+'Emergency Fund'!Y67-Y67</f>
        <v>0</v>
      </c>
    </row>
    <row r="68" spans="1:27" x14ac:dyDescent="0.25">
      <c r="A68" s="107"/>
      <c r="B68" s="107"/>
      <c r="C68" s="107"/>
      <c r="D68" s="107"/>
      <c r="E68" s="107"/>
      <c r="F68" s="132" t="s">
        <v>45</v>
      </c>
      <c r="H68" s="118">
        <f>Beach!M8</f>
        <v>900</v>
      </c>
      <c r="I68" s="118">
        <f>Beach!N8</f>
        <v>913.49999999999989</v>
      </c>
      <c r="J68" s="118">
        <f>Beach!O8</f>
        <v>927.20249999999976</v>
      </c>
      <c r="K68" s="118">
        <f>Beach!P8</f>
        <v>941.11053749999962</v>
      </c>
      <c r="L68" s="118">
        <f>Beach!Q8</f>
        <v>955.22719556249956</v>
      </c>
      <c r="M68" s="133">
        <f>Beach!C24</f>
        <v>75</v>
      </c>
      <c r="N68" s="133">
        <f>Beach!D24</f>
        <v>75</v>
      </c>
      <c r="O68" s="133">
        <f>Beach!E24</f>
        <v>75</v>
      </c>
      <c r="P68" s="133">
        <f>Beach!F24</f>
        <v>75</v>
      </c>
      <c r="Q68" s="133">
        <f>Beach!G24</f>
        <v>75</v>
      </c>
      <c r="R68" s="133">
        <f>Beach!H24</f>
        <v>75</v>
      </c>
      <c r="S68" s="133">
        <f>Beach!I24</f>
        <v>75</v>
      </c>
      <c r="T68" s="133">
        <f>Beach!J24</f>
        <v>75</v>
      </c>
      <c r="U68" s="133">
        <f>Beach!K24</f>
        <v>75</v>
      </c>
      <c r="V68" s="133">
        <f>Beach!L24</f>
        <v>75</v>
      </c>
      <c r="W68" s="133">
        <f>Beach!M24</f>
        <v>75</v>
      </c>
      <c r="X68" s="133">
        <f>Beach!N24</f>
        <v>75</v>
      </c>
      <c r="Y68" s="130">
        <f t="shared" si="1"/>
        <v>900</v>
      </c>
      <c r="Z68" s="113">
        <f t="shared" si="13"/>
        <v>0</v>
      </c>
      <c r="AA68" s="100">
        <f>+'General Fund'!Y68+'Road Fund'!Y68+'Lake Fund'!Y68+'Emergency Fund'!Y68-Y68</f>
        <v>0</v>
      </c>
    </row>
    <row r="69" spans="1:27" x14ac:dyDescent="0.25">
      <c r="A69" s="107"/>
      <c r="B69" s="107"/>
      <c r="C69" s="107"/>
      <c r="D69" s="107"/>
      <c r="E69" s="107"/>
      <c r="F69" s="132" t="s">
        <v>46</v>
      </c>
      <c r="H69" s="118">
        <f>Beach!M9</f>
        <v>300</v>
      </c>
      <c r="I69" s="118">
        <f>Beach!N9</f>
        <v>304.49999999999994</v>
      </c>
      <c r="J69" s="118">
        <f>Beach!O9</f>
        <v>309.06749999999994</v>
      </c>
      <c r="K69" s="118">
        <f>Beach!P9</f>
        <v>313.70351249999993</v>
      </c>
      <c r="L69" s="118">
        <f>Beach!Q9</f>
        <v>318.40906518749989</v>
      </c>
      <c r="M69" s="133">
        <f>Beach!C25</f>
        <v>25</v>
      </c>
      <c r="N69" s="133">
        <f>Beach!D25</f>
        <v>25</v>
      </c>
      <c r="O69" s="133">
        <f>Beach!E25</f>
        <v>25</v>
      </c>
      <c r="P69" s="133">
        <f>Beach!F25</f>
        <v>25</v>
      </c>
      <c r="Q69" s="133">
        <f>Beach!G25</f>
        <v>25</v>
      </c>
      <c r="R69" s="133">
        <f>Beach!H25</f>
        <v>25</v>
      </c>
      <c r="S69" s="133">
        <f>Beach!I25</f>
        <v>25</v>
      </c>
      <c r="T69" s="133">
        <f>Beach!J25</f>
        <v>25</v>
      </c>
      <c r="U69" s="133">
        <f>Beach!K25</f>
        <v>25</v>
      </c>
      <c r="V69" s="133">
        <f>Beach!L25</f>
        <v>25</v>
      </c>
      <c r="W69" s="133">
        <f>Beach!M25</f>
        <v>25</v>
      </c>
      <c r="X69" s="133">
        <f>Beach!N25</f>
        <v>25</v>
      </c>
      <c r="Y69" s="130">
        <f t="shared" si="1"/>
        <v>300</v>
      </c>
      <c r="Z69" s="113">
        <f t="shared" si="13"/>
        <v>0</v>
      </c>
      <c r="AA69" s="100">
        <f>+'General Fund'!Y69+'Road Fund'!Y69+'Lake Fund'!Y69+'Emergency Fund'!Y69-Y69</f>
        <v>0</v>
      </c>
    </row>
    <row r="70" spans="1:27" x14ac:dyDescent="0.25">
      <c r="A70" s="107"/>
      <c r="B70" s="107"/>
      <c r="C70" s="107"/>
      <c r="D70" s="107"/>
      <c r="E70" s="107"/>
      <c r="F70" s="132" t="s">
        <v>47</v>
      </c>
      <c r="H70" s="118">
        <f>Beach!M10</f>
        <v>480</v>
      </c>
      <c r="I70" s="118">
        <f>Beach!N10</f>
        <v>487.19999999999993</v>
      </c>
      <c r="J70" s="118">
        <f>Beach!O10</f>
        <v>494.50799999999987</v>
      </c>
      <c r="K70" s="118">
        <f>Beach!P10</f>
        <v>501.92561999999981</v>
      </c>
      <c r="L70" s="118">
        <f>Beach!Q10</f>
        <v>509.45450429999977</v>
      </c>
      <c r="M70" s="133">
        <f>Beach!C26</f>
        <v>40</v>
      </c>
      <c r="N70" s="133">
        <f>Beach!D26</f>
        <v>40</v>
      </c>
      <c r="O70" s="133">
        <f>Beach!E26</f>
        <v>40</v>
      </c>
      <c r="P70" s="133">
        <f>Beach!F26</f>
        <v>40</v>
      </c>
      <c r="Q70" s="133">
        <f>Beach!G26</f>
        <v>40</v>
      </c>
      <c r="R70" s="133">
        <f>Beach!H26</f>
        <v>40</v>
      </c>
      <c r="S70" s="133">
        <f>Beach!I26</f>
        <v>40</v>
      </c>
      <c r="T70" s="133">
        <f>Beach!J26</f>
        <v>40</v>
      </c>
      <c r="U70" s="133">
        <f>Beach!K26</f>
        <v>40</v>
      </c>
      <c r="V70" s="133">
        <f>Beach!L26</f>
        <v>40</v>
      </c>
      <c r="W70" s="133">
        <f>Beach!M26</f>
        <v>40</v>
      </c>
      <c r="X70" s="133">
        <f>Beach!N26</f>
        <v>40</v>
      </c>
      <c r="Y70" s="130">
        <f t="shared" si="1"/>
        <v>480</v>
      </c>
      <c r="Z70" s="113">
        <f t="shared" si="13"/>
        <v>0</v>
      </c>
      <c r="AA70" s="100">
        <f>+'General Fund'!Y70+'Road Fund'!Y70+'Lake Fund'!Y70+'Emergency Fund'!Y70-Y70</f>
        <v>0</v>
      </c>
    </row>
    <row r="71" spans="1:27" x14ac:dyDescent="0.25">
      <c r="A71" s="107"/>
      <c r="B71" s="107"/>
      <c r="C71" s="107"/>
      <c r="D71" s="107"/>
      <c r="E71" s="107"/>
      <c r="F71" s="132" t="s">
        <v>48</v>
      </c>
      <c r="H71" s="118">
        <f>Beach!M11</f>
        <v>300</v>
      </c>
      <c r="I71" s="118">
        <f>Beach!N11</f>
        <v>304.49999999999994</v>
      </c>
      <c r="J71" s="118">
        <f>Beach!O11</f>
        <v>309.06749999999994</v>
      </c>
      <c r="K71" s="118">
        <f>Beach!P11</f>
        <v>313.70351249999993</v>
      </c>
      <c r="L71" s="118">
        <f>Beach!Q11</f>
        <v>318.40906518749989</v>
      </c>
      <c r="M71" s="133">
        <f>Beach!C27</f>
        <v>0</v>
      </c>
      <c r="N71" s="133">
        <f>Beach!D27</f>
        <v>0</v>
      </c>
      <c r="O71" s="133">
        <f>Beach!E27</f>
        <v>0</v>
      </c>
      <c r="P71" s="133">
        <f>Beach!F27</f>
        <v>300</v>
      </c>
      <c r="Q71" s="133">
        <f>Beach!G27</f>
        <v>0</v>
      </c>
      <c r="R71" s="133">
        <f>Beach!H27</f>
        <v>0</v>
      </c>
      <c r="S71" s="133">
        <f>Beach!I27</f>
        <v>0</v>
      </c>
      <c r="T71" s="133">
        <f>Beach!J27</f>
        <v>0</v>
      </c>
      <c r="U71" s="133">
        <f>Beach!K27</f>
        <v>0</v>
      </c>
      <c r="V71" s="133">
        <f>Beach!L27</f>
        <v>0</v>
      </c>
      <c r="W71" s="133">
        <f>Beach!M27</f>
        <v>0</v>
      </c>
      <c r="X71" s="133">
        <f>Beach!N27</f>
        <v>0</v>
      </c>
      <c r="Y71" s="130">
        <f t="shared" ref="Y71:Y134" si="14">SUM(M71:X71)</f>
        <v>300</v>
      </c>
      <c r="Z71" s="113">
        <f t="shared" si="13"/>
        <v>0</v>
      </c>
      <c r="AA71" s="100">
        <f>+'General Fund'!Y71+'Road Fund'!Y71+'Lake Fund'!Y71+'Emergency Fund'!Y71-Y71</f>
        <v>0</v>
      </c>
    </row>
    <row r="72" spans="1:27" x14ac:dyDescent="0.25">
      <c r="A72" s="107"/>
      <c r="B72" s="107"/>
      <c r="C72" s="107"/>
      <c r="D72" s="107"/>
      <c r="E72" s="107"/>
      <c r="F72" s="132" t="s">
        <v>49</v>
      </c>
      <c r="H72" s="118">
        <f>Beach!M12</f>
        <v>0</v>
      </c>
      <c r="I72" s="118">
        <f>Beach!N12</f>
        <v>0</v>
      </c>
      <c r="J72" s="118">
        <f>Beach!O12</f>
        <v>0</v>
      </c>
      <c r="K72" s="118">
        <f>Beach!P12</f>
        <v>0</v>
      </c>
      <c r="L72" s="118">
        <f>Beach!Q12</f>
        <v>0</v>
      </c>
      <c r="M72" s="133">
        <f>Beach!C28</f>
        <v>0</v>
      </c>
      <c r="N72" s="133">
        <f>Beach!D28</f>
        <v>0</v>
      </c>
      <c r="O72" s="133">
        <f>Beach!E28</f>
        <v>0</v>
      </c>
      <c r="P72" s="133">
        <f>Beach!F28</f>
        <v>0</v>
      </c>
      <c r="Q72" s="133">
        <f>Beach!G28</f>
        <v>0</v>
      </c>
      <c r="R72" s="133">
        <f>Beach!H28</f>
        <v>0</v>
      </c>
      <c r="S72" s="133">
        <f>Beach!I28</f>
        <v>0</v>
      </c>
      <c r="T72" s="133">
        <f>Beach!J28</f>
        <v>0</v>
      </c>
      <c r="U72" s="133">
        <f>Beach!K28</f>
        <v>0</v>
      </c>
      <c r="V72" s="133">
        <f>Beach!L28</f>
        <v>0</v>
      </c>
      <c r="W72" s="133">
        <f>Beach!M28</f>
        <v>0</v>
      </c>
      <c r="X72" s="133">
        <f>Beach!N28</f>
        <v>0</v>
      </c>
      <c r="Y72" s="130">
        <f t="shared" si="14"/>
        <v>0</v>
      </c>
      <c r="Z72" s="113">
        <f t="shared" si="13"/>
        <v>0</v>
      </c>
      <c r="AA72" s="100">
        <f>+'General Fund'!Y72+'Road Fund'!Y72+'Lake Fund'!Y72+'Emergency Fund'!Y72-Y72</f>
        <v>0</v>
      </c>
    </row>
    <row r="73" spans="1:27" ht="15.75" thickBot="1" x14ac:dyDescent="0.3">
      <c r="A73" s="107"/>
      <c r="B73" s="107"/>
      <c r="C73" s="107"/>
      <c r="D73" s="107"/>
      <c r="E73" s="107"/>
      <c r="F73" s="132" t="s">
        <v>50</v>
      </c>
      <c r="H73" s="134">
        <f>Beach!M13</f>
        <v>0</v>
      </c>
      <c r="I73" s="134">
        <f>Beach!N13</f>
        <v>0</v>
      </c>
      <c r="J73" s="134">
        <f>Beach!O13</f>
        <v>0</v>
      </c>
      <c r="K73" s="134">
        <f>Beach!P13</f>
        <v>0</v>
      </c>
      <c r="L73" s="134">
        <f>Beach!Q13</f>
        <v>0</v>
      </c>
      <c r="M73" s="134">
        <f>Beach!C29</f>
        <v>0</v>
      </c>
      <c r="N73" s="134">
        <f>Beach!D29</f>
        <v>0</v>
      </c>
      <c r="O73" s="134">
        <f>Beach!E29</f>
        <v>0</v>
      </c>
      <c r="P73" s="134">
        <f>Beach!F29</f>
        <v>0</v>
      </c>
      <c r="Q73" s="134">
        <f>Beach!G29</f>
        <v>0</v>
      </c>
      <c r="R73" s="134">
        <f>Beach!H29</f>
        <v>0</v>
      </c>
      <c r="S73" s="134">
        <f>Beach!I29</f>
        <v>0</v>
      </c>
      <c r="T73" s="134">
        <f>Beach!J29</f>
        <v>0</v>
      </c>
      <c r="U73" s="134">
        <f>Beach!K29</f>
        <v>0</v>
      </c>
      <c r="V73" s="134">
        <f>Beach!L29</f>
        <v>0</v>
      </c>
      <c r="W73" s="134">
        <f>Beach!M29</f>
        <v>0</v>
      </c>
      <c r="X73" s="134">
        <f>Beach!N29</f>
        <v>0</v>
      </c>
      <c r="Y73" s="135">
        <f t="shared" si="14"/>
        <v>0</v>
      </c>
      <c r="Z73" s="113">
        <f t="shared" si="13"/>
        <v>0</v>
      </c>
      <c r="AA73" s="100">
        <f>+'General Fund'!Y73+'Road Fund'!Y73+'Lake Fund'!Y73+'Emergency Fund'!Y73-Y73</f>
        <v>0</v>
      </c>
    </row>
    <row r="74" spans="1:27" x14ac:dyDescent="0.25">
      <c r="A74" s="107"/>
      <c r="B74" s="107"/>
      <c r="C74" s="107"/>
      <c r="D74" s="107"/>
      <c r="E74" s="107"/>
      <c r="F74" s="107" t="s">
        <v>51</v>
      </c>
      <c r="G74" s="107"/>
      <c r="H74" s="118">
        <f>ROUND(SUM(H64:H73),5)</f>
        <v>4580</v>
      </c>
      <c r="I74" s="118">
        <f t="shared" ref="I74:L74" si="15">ROUND(SUM(I64:I73),5)</f>
        <v>5609.7</v>
      </c>
      <c r="J74" s="118">
        <f t="shared" si="15"/>
        <v>2639.8454999999999</v>
      </c>
      <c r="K74" s="118">
        <f t="shared" si="15"/>
        <v>3770.4431800000002</v>
      </c>
      <c r="L74" s="118">
        <f t="shared" si="15"/>
        <v>2701.4998300000002</v>
      </c>
      <c r="M74" s="118">
        <f t="shared" ref="M74:Y74" si="16">ROUND(SUM(M64:M73),5)</f>
        <v>140</v>
      </c>
      <c r="N74" s="118">
        <f t="shared" si="16"/>
        <v>140</v>
      </c>
      <c r="O74" s="118">
        <f t="shared" si="16"/>
        <v>740</v>
      </c>
      <c r="P74" s="118">
        <f t="shared" si="16"/>
        <v>1040</v>
      </c>
      <c r="Q74" s="118">
        <f t="shared" si="16"/>
        <v>940</v>
      </c>
      <c r="R74" s="118">
        <f t="shared" si="16"/>
        <v>440</v>
      </c>
      <c r="S74" s="118">
        <f t="shared" si="16"/>
        <v>440</v>
      </c>
      <c r="T74" s="118">
        <f t="shared" si="16"/>
        <v>140</v>
      </c>
      <c r="U74" s="118">
        <f t="shared" si="16"/>
        <v>140</v>
      </c>
      <c r="V74" s="118">
        <f t="shared" si="16"/>
        <v>140</v>
      </c>
      <c r="W74" s="118">
        <f t="shared" si="16"/>
        <v>140</v>
      </c>
      <c r="X74" s="118">
        <f t="shared" si="16"/>
        <v>140</v>
      </c>
      <c r="Y74" s="118">
        <f t="shared" si="16"/>
        <v>4580</v>
      </c>
      <c r="Z74" s="113">
        <f t="shared" si="13"/>
        <v>0</v>
      </c>
      <c r="AA74" s="100">
        <f>+'General Fund'!Y74+'Road Fund'!Y74+'Lake Fund'!Y74+'Emergency Fund'!Y74-Y74</f>
        <v>0</v>
      </c>
    </row>
    <row r="75" spans="1:27" x14ac:dyDescent="0.25">
      <c r="A75" s="107"/>
      <c r="B75" s="107"/>
      <c r="C75" s="107"/>
      <c r="D75" s="107"/>
      <c r="E75" s="107"/>
      <c r="F75" s="107" t="s">
        <v>32</v>
      </c>
      <c r="G75" s="107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30"/>
    </row>
    <row r="76" spans="1:27" x14ac:dyDescent="0.25">
      <c r="A76" s="107"/>
      <c r="B76" s="107"/>
      <c r="C76" s="107"/>
      <c r="D76" s="107"/>
      <c r="E76" s="107"/>
      <c r="F76" s="132" t="s">
        <v>33</v>
      </c>
      <c r="G76" s="107"/>
      <c r="H76" s="118">
        <f>Campground!M4</f>
        <v>900</v>
      </c>
      <c r="I76" s="118">
        <f>Campground!N4</f>
        <v>913.49999999999989</v>
      </c>
      <c r="J76" s="118">
        <f>Campground!O4</f>
        <v>927.20249999999976</v>
      </c>
      <c r="K76" s="118">
        <f>Campground!P4</f>
        <v>941.11053749999962</v>
      </c>
      <c r="L76" s="118">
        <f>Campground!Q4</f>
        <v>955.22719556249956</v>
      </c>
      <c r="M76" s="133">
        <f>Campground!C17</f>
        <v>0</v>
      </c>
      <c r="N76" s="133">
        <f>Campground!D17</f>
        <v>0</v>
      </c>
      <c r="O76" s="133">
        <f>Campground!E17</f>
        <v>0</v>
      </c>
      <c r="P76" s="133">
        <f>Campground!F17</f>
        <v>300</v>
      </c>
      <c r="Q76" s="133">
        <f>Campground!G17</f>
        <v>300</v>
      </c>
      <c r="R76" s="133">
        <f>Campground!H17</f>
        <v>300</v>
      </c>
      <c r="S76" s="133">
        <f>Campground!I17</f>
        <v>0</v>
      </c>
      <c r="T76" s="133">
        <f>Campground!J17</f>
        <v>0</v>
      </c>
      <c r="U76" s="133">
        <f>Campground!K17</f>
        <v>0</v>
      </c>
      <c r="V76" s="133">
        <f>Campground!L17</f>
        <v>0</v>
      </c>
      <c r="W76" s="133">
        <f>Campground!M17</f>
        <v>0</v>
      </c>
      <c r="X76" s="133">
        <f>Campground!N17</f>
        <v>0</v>
      </c>
      <c r="Y76" s="130">
        <f t="shared" si="14"/>
        <v>900</v>
      </c>
      <c r="Z76" s="113">
        <f t="shared" ref="Z76:Z83" si="17">ROUND(Y76-H76,0)</f>
        <v>0</v>
      </c>
      <c r="AA76" s="100">
        <f>+'General Fund'!Y76+'Road Fund'!Y76+'Lake Fund'!Y76+'Emergency Fund'!Y76-Y76</f>
        <v>0</v>
      </c>
    </row>
    <row r="77" spans="1:27" x14ac:dyDescent="0.25">
      <c r="A77" s="107"/>
      <c r="B77" s="107"/>
      <c r="C77" s="107"/>
      <c r="D77" s="107"/>
      <c r="E77" s="107"/>
      <c r="F77" s="132" t="s">
        <v>34</v>
      </c>
      <c r="G77" s="107"/>
      <c r="H77" s="118">
        <f>Campground!M5</f>
        <v>100</v>
      </c>
      <c r="I77" s="118">
        <f>Campground!N5</f>
        <v>500</v>
      </c>
      <c r="J77" s="118">
        <f>Campground!O5</f>
        <v>250</v>
      </c>
      <c r="K77" s="118">
        <f>Campground!P5</f>
        <v>250</v>
      </c>
      <c r="L77" s="118">
        <f>Campground!Q5</f>
        <v>250</v>
      </c>
      <c r="M77" s="133">
        <f>Campground!C18</f>
        <v>0</v>
      </c>
      <c r="N77" s="133">
        <f>Campground!D18</f>
        <v>0</v>
      </c>
      <c r="O77" s="133">
        <f>Campground!E18</f>
        <v>0</v>
      </c>
      <c r="P77" s="133">
        <f>Campground!F18</f>
        <v>100</v>
      </c>
      <c r="Q77" s="133">
        <f>Campground!G18</f>
        <v>0</v>
      </c>
      <c r="R77" s="133">
        <f>Campground!H18</f>
        <v>0</v>
      </c>
      <c r="S77" s="133">
        <f>Campground!I18</f>
        <v>0</v>
      </c>
      <c r="T77" s="133">
        <f>Campground!J18</f>
        <v>0</v>
      </c>
      <c r="U77" s="133">
        <f>Campground!K18</f>
        <v>0</v>
      </c>
      <c r="V77" s="133">
        <f>Campground!L18</f>
        <v>0</v>
      </c>
      <c r="W77" s="133">
        <f>Campground!M18</f>
        <v>0</v>
      </c>
      <c r="X77" s="133">
        <f>Campground!N18</f>
        <v>0</v>
      </c>
      <c r="Y77" s="130">
        <f t="shared" si="14"/>
        <v>100</v>
      </c>
      <c r="Z77" s="113">
        <f t="shared" si="17"/>
        <v>0</v>
      </c>
      <c r="AA77" s="100">
        <f>+'General Fund'!Y77+'Road Fund'!Y77+'Lake Fund'!Y77+'Emergency Fund'!Y77-Y77</f>
        <v>0</v>
      </c>
    </row>
    <row r="78" spans="1:27" x14ac:dyDescent="0.25">
      <c r="A78" s="107"/>
      <c r="B78" s="107"/>
      <c r="C78" s="107"/>
      <c r="D78" s="107"/>
      <c r="E78" s="107"/>
      <c r="F78" s="132" t="s">
        <v>35</v>
      </c>
      <c r="G78" s="107"/>
      <c r="H78" s="118">
        <f>Campground!M6</f>
        <v>720</v>
      </c>
      <c r="I78" s="118">
        <f>Campground!N6</f>
        <v>730.8</v>
      </c>
      <c r="J78" s="118">
        <f>Campground!O6</f>
        <v>741.76199999999983</v>
      </c>
      <c r="K78" s="118">
        <f>Campground!P6</f>
        <v>752.88842999999974</v>
      </c>
      <c r="L78" s="118">
        <f>Campground!Q6</f>
        <v>764.18175644999963</v>
      </c>
      <c r="M78" s="133">
        <f>Campground!C19</f>
        <v>60</v>
      </c>
      <c r="N78" s="133">
        <f>Campground!D19</f>
        <v>60</v>
      </c>
      <c r="O78" s="133">
        <f>Campground!E19</f>
        <v>60</v>
      </c>
      <c r="P78" s="133">
        <f>Campground!F19</f>
        <v>60</v>
      </c>
      <c r="Q78" s="133">
        <f>Campground!G19</f>
        <v>60</v>
      </c>
      <c r="R78" s="133">
        <f>Campground!H19</f>
        <v>60</v>
      </c>
      <c r="S78" s="133">
        <f>Campground!I19</f>
        <v>60</v>
      </c>
      <c r="T78" s="133">
        <f>Campground!J19</f>
        <v>60</v>
      </c>
      <c r="U78" s="133">
        <f>Campground!K19</f>
        <v>60</v>
      </c>
      <c r="V78" s="133">
        <f>Campground!L19</f>
        <v>60</v>
      </c>
      <c r="W78" s="133">
        <f>Campground!M19</f>
        <v>60</v>
      </c>
      <c r="X78" s="133">
        <f>Campground!N19</f>
        <v>60</v>
      </c>
      <c r="Y78" s="130">
        <f t="shared" si="14"/>
        <v>720</v>
      </c>
      <c r="Z78" s="113">
        <f t="shared" si="17"/>
        <v>0</v>
      </c>
      <c r="AA78" s="100">
        <f>+'General Fund'!Y78+'Road Fund'!Y78+'Lake Fund'!Y78+'Emergency Fund'!Y78-Y78</f>
        <v>0</v>
      </c>
    </row>
    <row r="79" spans="1:27" x14ac:dyDescent="0.25">
      <c r="A79" s="107"/>
      <c r="B79" s="107"/>
      <c r="C79" s="107"/>
      <c r="D79" s="107"/>
      <c r="E79" s="107"/>
      <c r="F79" s="132" t="s">
        <v>36</v>
      </c>
      <c r="G79" s="107"/>
      <c r="H79" s="118">
        <f>Campground!M7</f>
        <v>240</v>
      </c>
      <c r="I79" s="118">
        <f>Campground!N7</f>
        <v>243.59999999999997</v>
      </c>
      <c r="J79" s="118">
        <f>Campground!O7</f>
        <v>247.25399999999993</v>
      </c>
      <c r="K79" s="118">
        <f>Campground!P7</f>
        <v>250.96280999999991</v>
      </c>
      <c r="L79" s="118">
        <f>Campground!Q7</f>
        <v>254.72725214999988</v>
      </c>
      <c r="M79" s="133">
        <f>Campground!C20</f>
        <v>20</v>
      </c>
      <c r="N79" s="133">
        <f>Campground!D20</f>
        <v>20</v>
      </c>
      <c r="O79" s="133">
        <f>Campground!E20</f>
        <v>20</v>
      </c>
      <c r="P79" s="133">
        <f>Campground!F20</f>
        <v>20</v>
      </c>
      <c r="Q79" s="133">
        <f>Campground!G20</f>
        <v>20</v>
      </c>
      <c r="R79" s="133">
        <f>Campground!H20</f>
        <v>20</v>
      </c>
      <c r="S79" s="133">
        <f>Campground!I20</f>
        <v>20</v>
      </c>
      <c r="T79" s="133">
        <f>Campground!J20</f>
        <v>20</v>
      </c>
      <c r="U79" s="133">
        <f>Campground!K20</f>
        <v>20</v>
      </c>
      <c r="V79" s="133">
        <f>Campground!L20</f>
        <v>20</v>
      </c>
      <c r="W79" s="133">
        <f>Campground!M20</f>
        <v>20</v>
      </c>
      <c r="X79" s="133">
        <f>Campground!N20</f>
        <v>20</v>
      </c>
      <c r="Y79" s="130">
        <f t="shared" si="14"/>
        <v>240</v>
      </c>
      <c r="Z79" s="113">
        <f t="shared" si="17"/>
        <v>0</v>
      </c>
      <c r="AA79" s="100">
        <f>+'General Fund'!Y79+'Road Fund'!Y79+'Lake Fund'!Y79+'Emergency Fund'!Y79-Y79</f>
        <v>0</v>
      </c>
    </row>
    <row r="80" spans="1:27" x14ac:dyDescent="0.25">
      <c r="A80" s="107"/>
      <c r="B80" s="107"/>
      <c r="C80" s="107"/>
      <c r="D80" s="107"/>
      <c r="E80" s="107"/>
      <c r="F80" s="132" t="s">
        <v>37</v>
      </c>
      <c r="G80" s="107"/>
      <c r="H80" s="118">
        <f>Campground!M8</f>
        <v>0</v>
      </c>
      <c r="I80" s="118">
        <f>Campground!N8</f>
        <v>0</v>
      </c>
      <c r="J80" s="118">
        <f>Campground!O8</f>
        <v>0</v>
      </c>
      <c r="K80" s="118">
        <f>Campground!P8</f>
        <v>0</v>
      </c>
      <c r="L80" s="118">
        <f>Campground!Q8</f>
        <v>0</v>
      </c>
      <c r="M80" s="133">
        <f>Campground!C21</f>
        <v>0</v>
      </c>
      <c r="N80" s="133">
        <f>Campground!D21</f>
        <v>0</v>
      </c>
      <c r="O80" s="133">
        <f>Campground!E21</f>
        <v>0</v>
      </c>
      <c r="P80" s="133">
        <f>Campground!F21</f>
        <v>0</v>
      </c>
      <c r="Q80" s="133">
        <f>Campground!G21</f>
        <v>0</v>
      </c>
      <c r="R80" s="133">
        <f>Campground!H21</f>
        <v>0</v>
      </c>
      <c r="S80" s="133">
        <f>Campground!I21</f>
        <v>0</v>
      </c>
      <c r="T80" s="133">
        <f>Campground!J21</f>
        <v>0</v>
      </c>
      <c r="U80" s="133">
        <f>Campground!K21</f>
        <v>0</v>
      </c>
      <c r="V80" s="133">
        <f>Campground!L21</f>
        <v>0</v>
      </c>
      <c r="W80" s="133">
        <f>Campground!M21</f>
        <v>0</v>
      </c>
      <c r="X80" s="133">
        <f>Campground!N21</f>
        <v>0</v>
      </c>
      <c r="Y80" s="130">
        <f t="shared" si="14"/>
        <v>0</v>
      </c>
      <c r="Z80" s="113">
        <f t="shared" si="17"/>
        <v>0</v>
      </c>
      <c r="AA80" s="100">
        <f>+'General Fund'!Y80+'Road Fund'!Y80+'Lake Fund'!Y80+'Emergency Fund'!Y80-Y80</f>
        <v>0</v>
      </c>
    </row>
    <row r="81" spans="1:27" ht="15.75" thickBot="1" x14ac:dyDescent="0.3">
      <c r="A81" s="107"/>
      <c r="B81" s="107"/>
      <c r="C81" s="107"/>
      <c r="D81" s="107"/>
      <c r="E81" s="107"/>
      <c r="F81" s="132" t="s">
        <v>38</v>
      </c>
      <c r="G81" s="107"/>
      <c r="H81" s="118">
        <f>Campground!M9</f>
        <v>400</v>
      </c>
      <c r="I81" s="118">
        <f>Campground!N9</f>
        <v>400</v>
      </c>
      <c r="J81" s="118">
        <f>Campground!O9</f>
        <v>0</v>
      </c>
      <c r="K81" s="118">
        <f>Campground!P9</f>
        <v>0</v>
      </c>
      <c r="L81" s="118">
        <f>Campground!Q9</f>
        <v>0</v>
      </c>
      <c r="M81" s="134">
        <f>Campground!C22</f>
        <v>0</v>
      </c>
      <c r="N81" s="134">
        <f>Campground!D22</f>
        <v>0</v>
      </c>
      <c r="O81" s="134">
        <f>Campground!E22</f>
        <v>0</v>
      </c>
      <c r="P81" s="134">
        <f>Campground!F22</f>
        <v>0</v>
      </c>
      <c r="Q81" s="134">
        <f>Campground!G22</f>
        <v>200</v>
      </c>
      <c r="R81" s="134">
        <f>Campground!H22</f>
        <v>200</v>
      </c>
      <c r="S81" s="134">
        <f>Campground!I22</f>
        <v>0</v>
      </c>
      <c r="T81" s="134">
        <f>Campground!J22</f>
        <v>0</v>
      </c>
      <c r="U81" s="134">
        <f>Campground!K22</f>
        <v>0</v>
      </c>
      <c r="V81" s="134">
        <f>Campground!L22</f>
        <v>0</v>
      </c>
      <c r="W81" s="134">
        <f>Campground!M22</f>
        <v>0</v>
      </c>
      <c r="X81" s="134">
        <f>Campground!N22</f>
        <v>0</v>
      </c>
      <c r="Y81" s="130">
        <f t="shared" si="14"/>
        <v>400</v>
      </c>
      <c r="Z81" s="113">
        <f t="shared" si="17"/>
        <v>0</v>
      </c>
      <c r="AA81" s="100">
        <f>+'General Fund'!Y81+'Road Fund'!Y81+'Lake Fund'!Y81+'Emergency Fund'!Y81-Y81</f>
        <v>0</v>
      </c>
    </row>
    <row r="82" spans="1:27" ht="15.75" thickBot="1" x14ac:dyDescent="0.3">
      <c r="A82" s="107"/>
      <c r="B82" s="107"/>
      <c r="C82" s="107"/>
      <c r="D82" s="107"/>
      <c r="E82" s="107"/>
      <c r="F82" s="107" t="s">
        <v>39</v>
      </c>
      <c r="G82" s="107"/>
      <c r="H82" s="131">
        <f>ROUND(SUM(H76:H81),5)</f>
        <v>2360</v>
      </c>
      <c r="I82" s="131">
        <f t="shared" ref="I82:L82" si="18">ROUND(SUM(I76:I81),5)</f>
        <v>2787.9</v>
      </c>
      <c r="J82" s="131">
        <f t="shared" si="18"/>
        <v>2166.2184999999999</v>
      </c>
      <c r="K82" s="131">
        <f t="shared" si="18"/>
        <v>2194.9617800000001</v>
      </c>
      <c r="L82" s="131">
        <f t="shared" si="18"/>
        <v>2224.1361999999999</v>
      </c>
      <c r="M82" s="131">
        <f t="shared" ref="M82:Y82" si="19">ROUND(SUM(M76:M81),5)</f>
        <v>80</v>
      </c>
      <c r="N82" s="131">
        <f t="shared" si="19"/>
        <v>80</v>
      </c>
      <c r="O82" s="131">
        <f t="shared" si="19"/>
        <v>80</v>
      </c>
      <c r="P82" s="131">
        <f t="shared" si="19"/>
        <v>480</v>
      </c>
      <c r="Q82" s="131">
        <f t="shared" si="19"/>
        <v>580</v>
      </c>
      <c r="R82" s="131">
        <f t="shared" si="19"/>
        <v>580</v>
      </c>
      <c r="S82" s="131">
        <f t="shared" si="19"/>
        <v>80</v>
      </c>
      <c r="T82" s="131">
        <f t="shared" si="19"/>
        <v>80</v>
      </c>
      <c r="U82" s="131">
        <f t="shared" si="19"/>
        <v>80</v>
      </c>
      <c r="V82" s="131">
        <f t="shared" si="19"/>
        <v>80</v>
      </c>
      <c r="W82" s="131">
        <f t="shared" si="19"/>
        <v>80</v>
      </c>
      <c r="X82" s="131">
        <f t="shared" si="19"/>
        <v>80</v>
      </c>
      <c r="Y82" s="131">
        <f t="shared" si="19"/>
        <v>2360</v>
      </c>
      <c r="Z82" s="113">
        <f t="shared" si="17"/>
        <v>0</v>
      </c>
      <c r="AA82" s="100">
        <f>+'General Fund'!Y82+'Road Fund'!Y82+'Lake Fund'!Y82+'Emergency Fund'!Y82-Y82</f>
        <v>0</v>
      </c>
    </row>
    <row r="83" spans="1:27" x14ac:dyDescent="0.25">
      <c r="A83" s="107"/>
      <c r="B83" s="107"/>
      <c r="C83" s="107"/>
      <c r="D83" s="107"/>
      <c r="E83" s="107" t="s">
        <v>162</v>
      </c>
      <c r="F83" s="107"/>
      <c r="G83" s="107"/>
      <c r="H83" s="118">
        <f>ROUND(H62+H74+H82,5)</f>
        <v>6940</v>
      </c>
      <c r="I83" s="118">
        <f t="shared" ref="I83:L83" si="20">ROUND(I62+I74+I82,5)</f>
        <v>8397.6</v>
      </c>
      <c r="J83" s="118">
        <f t="shared" si="20"/>
        <v>4806.0640000000003</v>
      </c>
      <c r="K83" s="118">
        <f t="shared" si="20"/>
        <v>5965.4049599999998</v>
      </c>
      <c r="L83" s="118">
        <f t="shared" si="20"/>
        <v>4925.6360299999997</v>
      </c>
      <c r="M83" s="118">
        <f t="shared" ref="M83:X83" si="21">ROUND(M62+M74+M82,5)</f>
        <v>220</v>
      </c>
      <c r="N83" s="118">
        <f t="shared" si="21"/>
        <v>220</v>
      </c>
      <c r="O83" s="118">
        <f t="shared" si="21"/>
        <v>820</v>
      </c>
      <c r="P83" s="118">
        <f t="shared" si="21"/>
        <v>1520</v>
      </c>
      <c r="Q83" s="118">
        <f t="shared" si="21"/>
        <v>1520</v>
      </c>
      <c r="R83" s="118">
        <f t="shared" si="21"/>
        <v>1020</v>
      </c>
      <c r="S83" s="118">
        <f t="shared" si="21"/>
        <v>520</v>
      </c>
      <c r="T83" s="118">
        <f t="shared" si="21"/>
        <v>220</v>
      </c>
      <c r="U83" s="118">
        <f t="shared" si="21"/>
        <v>220</v>
      </c>
      <c r="V83" s="118">
        <f t="shared" si="21"/>
        <v>220</v>
      </c>
      <c r="W83" s="118">
        <f t="shared" si="21"/>
        <v>220</v>
      </c>
      <c r="X83" s="118">
        <f t="shared" si="21"/>
        <v>220</v>
      </c>
      <c r="Y83" s="130">
        <f t="shared" si="14"/>
        <v>6940</v>
      </c>
      <c r="Z83" s="113">
        <f t="shared" si="17"/>
        <v>0</v>
      </c>
      <c r="AA83" s="100">
        <f>+'General Fund'!Y83+'Road Fund'!Y83+'Lake Fund'!Y83+'Emergency Fund'!Y83-Y83</f>
        <v>0</v>
      </c>
    </row>
    <row r="84" spans="1:27" x14ac:dyDescent="0.25">
      <c r="A84" s="107"/>
      <c r="B84" s="107"/>
      <c r="C84" s="107"/>
      <c r="D84" s="107"/>
      <c r="E84" s="107" t="s">
        <v>52</v>
      </c>
      <c r="F84" s="107"/>
      <c r="G84" s="107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30"/>
    </row>
    <row r="85" spans="1:27" x14ac:dyDescent="0.25">
      <c r="A85" s="107"/>
      <c r="B85" s="107"/>
      <c r="C85" s="107"/>
      <c r="D85" s="107"/>
      <c r="E85" s="107"/>
      <c r="F85" s="132" t="s">
        <v>53</v>
      </c>
      <c r="G85" s="107"/>
      <c r="H85" s="118">
        <f>'Property Owner Services'!M4</f>
        <v>2500</v>
      </c>
      <c r="I85" s="118">
        <f>'Property Owner Services'!N4</f>
        <v>2537.4999999999995</v>
      </c>
      <c r="J85" s="118">
        <f>'Property Owner Services'!O4</f>
        <v>2575.5624999999991</v>
      </c>
      <c r="K85" s="118">
        <f>'Property Owner Services'!P4</f>
        <v>2614.1959374999988</v>
      </c>
      <c r="L85" s="118">
        <f>'Property Owner Services'!Q4</f>
        <v>2653.4088765624983</v>
      </c>
      <c r="M85" s="133">
        <f>'Property Owner Services'!C40</f>
        <v>208.33333333333334</v>
      </c>
      <c r="N85" s="133">
        <f>'Property Owner Services'!D40</f>
        <v>208.33333333333334</v>
      </c>
      <c r="O85" s="133">
        <f>'Property Owner Services'!E40</f>
        <v>208.33333333333334</v>
      </c>
      <c r="P85" s="133">
        <f>'Property Owner Services'!F40</f>
        <v>208.33333333333334</v>
      </c>
      <c r="Q85" s="133">
        <f>'Property Owner Services'!G40</f>
        <v>208.33333333333334</v>
      </c>
      <c r="R85" s="133">
        <f>'Property Owner Services'!H40</f>
        <v>208.33333333333334</v>
      </c>
      <c r="S85" s="133">
        <f>'Property Owner Services'!I40</f>
        <v>208.33333333333334</v>
      </c>
      <c r="T85" s="133">
        <f>'Property Owner Services'!J40</f>
        <v>208.33333333333334</v>
      </c>
      <c r="U85" s="133">
        <f>'Property Owner Services'!K40</f>
        <v>208.33333333333334</v>
      </c>
      <c r="V85" s="133">
        <f>'Property Owner Services'!L40</f>
        <v>208.33333333333334</v>
      </c>
      <c r="W85" s="133">
        <f>'Property Owner Services'!M40</f>
        <v>208.33333333333334</v>
      </c>
      <c r="X85" s="133">
        <f>'Property Owner Services'!N40</f>
        <v>208.33333333333334</v>
      </c>
      <c r="Y85" s="130">
        <f t="shared" si="14"/>
        <v>2500</v>
      </c>
      <c r="Z85" s="113">
        <f t="shared" ref="Z85:Z116" si="22">ROUND(Y85-H85,0)</f>
        <v>0</v>
      </c>
      <c r="AA85" s="100">
        <f>+'General Fund'!Y85+'Road Fund'!Y85+'Lake Fund'!Y85+'Emergency Fund'!Y85-Y85</f>
        <v>0</v>
      </c>
    </row>
    <row r="86" spans="1:27" x14ac:dyDescent="0.25">
      <c r="A86" s="107"/>
      <c r="B86" s="107"/>
      <c r="C86" s="107"/>
      <c r="D86" s="107"/>
      <c r="E86" s="107"/>
      <c r="F86" s="132" t="s">
        <v>54</v>
      </c>
      <c r="G86" s="107"/>
      <c r="H86" s="118">
        <f>'Property Owner Services'!M5</f>
        <v>1340</v>
      </c>
      <c r="I86" s="118">
        <f>'Property Owner Services'!N5</f>
        <v>1360.1</v>
      </c>
      <c r="J86" s="118">
        <f>'Property Owner Services'!O5</f>
        <v>1380.5014999999999</v>
      </c>
      <c r="K86" s="118">
        <f>'Property Owner Services'!P5</f>
        <v>1401.2090224999997</v>
      </c>
      <c r="L86" s="118">
        <f>'Property Owner Services'!Q5</f>
        <v>1422.2271578374996</v>
      </c>
      <c r="M86" s="133">
        <f>'Property Owner Services'!C41</f>
        <v>111.66666666666667</v>
      </c>
      <c r="N86" s="133">
        <f>'Property Owner Services'!D41</f>
        <v>111.66666666666667</v>
      </c>
      <c r="O86" s="133">
        <f>'Property Owner Services'!E41</f>
        <v>111.66666666666667</v>
      </c>
      <c r="P86" s="133">
        <f>'Property Owner Services'!F41</f>
        <v>111.66666666666667</v>
      </c>
      <c r="Q86" s="133">
        <f>'Property Owner Services'!G41</f>
        <v>111.66666666666667</v>
      </c>
      <c r="R86" s="133">
        <f>'Property Owner Services'!H41</f>
        <v>111.66666666666667</v>
      </c>
      <c r="S86" s="133">
        <f>'Property Owner Services'!I41</f>
        <v>111.66666666666667</v>
      </c>
      <c r="T86" s="133">
        <f>'Property Owner Services'!J41</f>
        <v>111.66666666666667</v>
      </c>
      <c r="U86" s="133">
        <f>'Property Owner Services'!K41</f>
        <v>111.66666666666667</v>
      </c>
      <c r="V86" s="133">
        <f>'Property Owner Services'!L41</f>
        <v>111.66666666666667</v>
      </c>
      <c r="W86" s="133">
        <f>'Property Owner Services'!M41</f>
        <v>111.66666666666667</v>
      </c>
      <c r="X86" s="133">
        <f>'Property Owner Services'!N41</f>
        <v>111.66666666666667</v>
      </c>
      <c r="Y86" s="130">
        <f t="shared" si="14"/>
        <v>1340</v>
      </c>
      <c r="Z86" s="113">
        <f t="shared" si="22"/>
        <v>0</v>
      </c>
      <c r="AA86" s="100">
        <f>+'General Fund'!Y86+'Road Fund'!Y86+'Lake Fund'!Y86+'Emergency Fund'!Y86-Y86</f>
        <v>0</v>
      </c>
    </row>
    <row r="87" spans="1:27" x14ac:dyDescent="0.25">
      <c r="A87" s="107"/>
      <c r="B87" s="107"/>
      <c r="C87" s="107"/>
      <c r="D87" s="107"/>
      <c r="E87" s="107"/>
      <c r="F87" s="132" t="s">
        <v>55</v>
      </c>
      <c r="G87" s="107"/>
      <c r="H87" s="118">
        <f>'Property Owner Services'!M6</f>
        <v>12000</v>
      </c>
      <c r="I87" s="118">
        <f>'Property Owner Services'!N6</f>
        <v>12179.999999999998</v>
      </c>
      <c r="J87" s="118">
        <f>'Property Owner Services'!O6</f>
        <v>12362.699999999997</v>
      </c>
      <c r="K87" s="118">
        <f>'Property Owner Services'!P6</f>
        <v>12548.140499999996</v>
      </c>
      <c r="L87" s="118">
        <f>'Property Owner Services'!Q6</f>
        <v>12736.362607499994</v>
      </c>
      <c r="M87" s="133">
        <f>'Property Owner Services'!C42</f>
        <v>1000</v>
      </c>
      <c r="N87" s="133">
        <f>'Property Owner Services'!D42</f>
        <v>1000</v>
      </c>
      <c r="O87" s="133">
        <f>'Property Owner Services'!E42</f>
        <v>1000</v>
      </c>
      <c r="P87" s="133">
        <f>'Property Owner Services'!F42</f>
        <v>1000</v>
      </c>
      <c r="Q87" s="133">
        <f>'Property Owner Services'!G42</f>
        <v>1000</v>
      </c>
      <c r="R87" s="133">
        <f>'Property Owner Services'!H42</f>
        <v>1000</v>
      </c>
      <c r="S87" s="133">
        <f>'Property Owner Services'!I42</f>
        <v>1000</v>
      </c>
      <c r="T87" s="133">
        <f>'Property Owner Services'!J42</f>
        <v>1000</v>
      </c>
      <c r="U87" s="133">
        <f>'Property Owner Services'!K42</f>
        <v>1000</v>
      </c>
      <c r="V87" s="133">
        <f>'Property Owner Services'!L42</f>
        <v>1000</v>
      </c>
      <c r="W87" s="133">
        <f>'Property Owner Services'!M42</f>
        <v>1000</v>
      </c>
      <c r="X87" s="133">
        <f>'Property Owner Services'!N42</f>
        <v>1000</v>
      </c>
      <c r="Y87" s="130">
        <f t="shared" si="14"/>
        <v>12000</v>
      </c>
      <c r="Z87" s="113">
        <f t="shared" si="22"/>
        <v>0</v>
      </c>
      <c r="AA87" s="100">
        <f>+'General Fund'!Y87+'Road Fund'!Y87+'Lake Fund'!Y87+'Emergency Fund'!Y87-Y87</f>
        <v>0</v>
      </c>
    </row>
    <row r="88" spans="1:27" x14ac:dyDescent="0.25">
      <c r="A88" s="107"/>
      <c r="B88" s="107"/>
      <c r="C88" s="107"/>
      <c r="D88" s="107"/>
      <c r="E88" s="107"/>
      <c r="F88" s="132" t="s">
        <v>56</v>
      </c>
      <c r="G88" s="107"/>
      <c r="H88" s="118">
        <f>'Property Owner Services'!M7</f>
        <v>2600</v>
      </c>
      <c r="I88" s="118">
        <f>'Property Owner Services'!N7</f>
        <v>2638.9999999999995</v>
      </c>
      <c r="J88" s="118">
        <f>'Property Owner Services'!O7</f>
        <v>2678.5849999999991</v>
      </c>
      <c r="K88" s="118">
        <f>'Property Owner Services'!P7</f>
        <v>2718.763774999999</v>
      </c>
      <c r="L88" s="118">
        <f>'Property Owner Services'!Q7</f>
        <v>2759.5452316249989</v>
      </c>
      <c r="M88" s="133">
        <f>'Property Owner Services'!C43</f>
        <v>216.66666666666666</v>
      </c>
      <c r="N88" s="133">
        <f>'Property Owner Services'!D43</f>
        <v>216.66666666666666</v>
      </c>
      <c r="O88" s="133">
        <f>'Property Owner Services'!E43</f>
        <v>216.66666666666666</v>
      </c>
      <c r="P88" s="133">
        <f>'Property Owner Services'!F43</f>
        <v>216.66666666666666</v>
      </c>
      <c r="Q88" s="133">
        <f>'Property Owner Services'!G43</f>
        <v>216.66666666666666</v>
      </c>
      <c r="R88" s="133">
        <f>'Property Owner Services'!H43</f>
        <v>216.66666666666666</v>
      </c>
      <c r="S88" s="133">
        <f>'Property Owner Services'!I43</f>
        <v>216.66666666666666</v>
      </c>
      <c r="T88" s="133">
        <f>'Property Owner Services'!J43</f>
        <v>216.66666666666666</v>
      </c>
      <c r="U88" s="133">
        <f>'Property Owner Services'!K43</f>
        <v>216.66666666666666</v>
      </c>
      <c r="V88" s="133">
        <f>'Property Owner Services'!L43</f>
        <v>216.66666666666666</v>
      </c>
      <c r="W88" s="133">
        <f>'Property Owner Services'!M43</f>
        <v>216.66666666666666</v>
      </c>
      <c r="X88" s="133">
        <f>'Property Owner Services'!N43</f>
        <v>216.66666666666666</v>
      </c>
      <c r="Y88" s="130">
        <f t="shared" si="14"/>
        <v>2600</v>
      </c>
      <c r="Z88" s="113">
        <f t="shared" si="22"/>
        <v>0</v>
      </c>
      <c r="AA88" s="100">
        <f>+'General Fund'!Y88+'Road Fund'!Y88+'Lake Fund'!Y88+'Emergency Fund'!Y88-Y88</f>
        <v>0</v>
      </c>
    </row>
    <row r="89" spans="1:27" x14ac:dyDescent="0.25">
      <c r="A89" s="107"/>
      <c r="B89" s="107"/>
      <c r="C89" s="107"/>
      <c r="D89" s="107"/>
      <c r="E89" s="107"/>
      <c r="F89" s="132" t="s">
        <v>57</v>
      </c>
      <c r="G89" s="107"/>
      <c r="H89" s="118">
        <f>'Property Owner Services'!M8</f>
        <v>1957</v>
      </c>
      <c r="I89" s="118">
        <f>'Property Owner Services'!N8</f>
        <v>2015.71</v>
      </c>
      <c r="J89" s="118">
        <f>'Property Owner Services'!O8</f>
        <v>2076.1813000000002</v>
      </c>
      <c r="K89" s="118">
        <f>'Property Owner Services'!P8</f>
        <v>2138.4667390000004</v>
      </c>
      <c r="L89" s="118">
        <f>'Property Owner Services'!Q8</f>
        <v>2202.6207411700007</v>
      </c>
      <c r="M89" s="133">
        <f>'Property Owner Services'!C44</f>
        <v>163.08333333333334</v>
      </c>
      <c r="N89" s="133">
        <f>'Property Owner Services'!D44</f>
        <v>163.08333333333334</v>
      </c>
      <c r="O89" s="133">
        <f>'Property Owner Services'!E44</f>
        <v>163.08333333333334</v>
      </c>
      <c r="P89" s="133">
        <f>'Property Owner Services'!F44</f>
        <v>163.08333333333334</v>
      </c>
      <c r="Q89" s="133">
        <f>'Property Owner Services'!G44</f>
        <v>163.08333333333334</v>
      </c>
      <c r="R89" s="133">
        <f>'Property Owner Services'!H44</f>
        <v>163.08333333333334</v>
      </c>
      <c r="S89" s="133">
        <f>'Property Owner Services'!I44</f>
        <v>163.08333333333334</v>
      </c>
      <c r="T89" s="133">
        <f>'Property Owner Services'!J44</f>
        <v>163.08333333333334</v>
      </c>
      <c r="U89" s="133">
        <f>'Property Owner Services'!K44</f>
        <v>163.08333333333334</v>
      </c>
      <c r="V89" s="133">
        <f>'Property Owner Services'!L44</f>
        <v>163.08333333333334</v>
      </c>
      <c r="W89" s="133">
        <f>'Property Owner Services'!M44</f>
        <v>163.08333333333334</v>
      </c>
      <c r="X89" s="133">
        <f>'Property Owner Services'!N44</f>
        <v>163.08333333333334</v>
      </c>
      <c r="Y89" s="130">
        <f t="shared" si="14"/>
        <v>1956.9999999999998</v>
      </c>
      <c r="Z89" s="113">
        <f t="shared" si="22"/>
        <v>0</v>
      </c>
      <c r="AA89" s="100">
        <f>+'General Fund'!Y89+'Road Fund'!Y89+'Lake Fund'!Y89+'Emergency Fund'!Y89-Y89</f>
        <v>0</v>
      </c>
    </row>
    <row r="90" spans="1:27" x14ac:dyDescent="0.25">
      <c r="A90" s="107"/>
      <c r="B90" s="107"/>
      <c r="C90" s="107"/>
      <c r="D90" s="107"/>
      <c r="E90" s="107"/>
      <c r="F90" s="132" t="s">
        <v>58</v>
      </c>
      <c r="G90" s="107"/>
      <c r="H90" s="118">
        <f>'Property Owner Services'!M9</f>
        <v>1750</v>
      </c>
      <c r="I90" s="118">
        <f>'Property Owner Services'!N9</f>
        <v>1776.2499999999998</v>
      </c>
      <c r="J90" s="118">
        <f>'Property Owner Services'!O9</f>
        <v>1802.8937499999995</v>
      </c>
      <c r="K90" s="118">
        <f>'Property Owner Services'!P9</f>
        <v>1829.9371562499994</v>
      </c>
      <c r="L90" s="118">
        <f>'Property Owner Services'!Q9</f>
        <v>1857.3862135937491</v>
      </c>
      <c r="M90" s="133">
        <f>'Property Owner Services'!C45</f>
        <v>145.83333333333334</v>
      </c>
      <c r="N90" s="133">
        <f>'Property Owner Services'!D45</f>
        <v>145.83333333333334</v>
      </c>
      <c r="O90" s="133">
        <f>'Property Owner Services'!E45</f>
        <v>145.83333333333334</v>
      </c>
      <c r="P90" s="133">
        <f>'Property Owner Services'!F45</f>
        <v>145.83333333333334</v>
      </c>
      <c r="Q90" s="133">
        <f>'Property Owner Services'!G45</f>
        <v>145.83333333333334</v>
      </c>
      <c r="R90" s="133">
        <f>'Property Owner Services'!H45</f>
        <v>145.83333333333334</v>
      </c>
      <c r="S90" s="133">
        <f>'Property Owner Services'!I45</f>
        <v>145.83333333333334</v>
      </c>
      <c r="T90" s="133">
        <f>'Property Owner Services'!J45</f>
        <v>145.83333333333334</v>
      </c>
      <c r="U90" s="133">
        <f>'Property Owner Services'!K45</f>
        <v>145.83333333333334</v>
      </c>
      <c r="V90" s="133">
        <f>'Property Owner Services'!L45</f>
        <v>145.83333333333334</v>
      </c>
      <c r="W90" s="133">
        <f>'Property Owner Services'!M45</f>
        <v>145.83333333333334</v>
      </c>
      <c r="X90" s="133">
        <f>'Property Owner Services'!N45</f>
        <v>145.83333333333334</v>
      </c>
      <c r="Y90" s="130">
        <f t="shared" si="14"/>
        <v>1749.9999999999998</v>
      </c>
      <c r="Z90" s="113">
        <f t="shared" si="22"/>
        <v>0</v>
      </c>
      <c r="AA90" s="100">
        <f>+'General Fund'!Y90+'Road Fund'!Y90+'Lake Fund'!Y90+'Emergency Fund'!Y90-Y90</f>
        <v>0</v>
      </c>
    </row>
    <row r="91" spans="1:27" x14ac:dyDescent="0.25">
      <c r="A91" s="107"/>
      <c r="B91" s="107"/>
      <c r="C91" s="107"/>
      <c r="D91" s="107"/>
      <c r="E91" s="107"/>
      <c r="F91" s="132" t="s">
        <v>59</v>
      </c>
      <c r="G91" s="107"/>
      <c r="H91" s="118">
        <f>'Property Owner Services'!M10</f>
        <v>2475</v>
      </c>
      <c r="I91" s="118">
        <f>'Property Owner Services'!N10</f>
        <v>2512.1249999999995</v>
      </c>
      <c r="J91" s="118">
        <f>'Property Owner Services'!O10</f>
        <v>2549.8068749999993</v>
      </c>
      <c r="K91" s="118">
        <f>'Property Owner Services'!P10</f>
        <v>2588.053978124999</v>
      </c>
      <c r="L91" s="118">
        <f>'Property Owner Services'!Q10</f>
        <v>2626.874787796874</v>
      </c>
      <c r="M91" s="133">
        <f>'Property Owner Services'!C46</f>
        <v>206.25</v>
      </c>
      <c r="N91" s="133">
        <f>'Property Owner Services'!D46</f>
        <v>206.25</v>
      </c>
      <c r="O91" s="133">
        <f>'Property Owner Services'!E46</f>
        <v>206.25</v>
      </c>
      <c r="P91" s="133">
        <f>'Property Owner Services'!F46</f>
        <v>206.25</v>
      </c>
      <c r="Q91" s="133">
        <f>'Property Owner Services'!G46</f>
        <v>206.25</v>
      </c>
      <c r="R91" s="133">
        <f>'Property Owner Services'!H46</f>
        <v>206.25</v>
      </c>
      <c r="S91" s="133">
        <f>'Property Owner Services'!I46</f>
        <v>206.25</v>
      </c>
      <c r="T91" s="133">
        <f>'Property Owner Services'!J46</f>
        <v>206.25</v>
      </c>
      <c r="U91" s="133">
        <f>'Property Owner Services'!K46</f>
        <v>206.25</v>
      </c>
      <c r="V91" s="133">
        <f>'Property Owner Services'!L46</f>
        <v>206.25</v>
      </c>
      <c r="W91" s="133">
        <f>'Property Owner Services'!M46</f>
        <v>206.25</v>
      </c>
      <c r="X91" s="133">
        <f>'Property Owner Services'!N46</f>
        <v>206.25</v>
      </c>
      <c r="Y91" s="130">
        <f t="shared" si="14"/>
        <v>2475</v>
      </c>
      <c r="Z91" s="113">
        <f t="shared" si="22"/>
        <v>0</v>
      </c>
      <c r="AA91" s="100">
        <f>+'General Fund'!Y91+'Road Fund'!Y91+'Lake Fund'!Y91+'Emergency Fund'!Y91-Y91</f>
        <v>0</v>
      </c>
    </row>
    <row r="92" spans="1:27" x14ac:dyDescent="0.25">
      <c r="A92" s="107"/>
      <c r="B92" s="107"/>
      <c r="C92" s="107"/>
      <c r="D92" s="107"/>
      <c r="E92" s="107"/>
      <c r="F92" s="132" t="s">
        <v>60</v>
      </c>
      <c r="G92" s="107"/>
      <c r="H92" s="118">
        <f>'Property Owner Services'!M11</f>
        <v>0</v>
      </c>
      <c r="I92" s="118">
        <f>'Property Owner Services'!N11</f>
        <v>0</v>
      </c>
      <c r="J92" s="118">
        <f>'Property Owner Services'!O11</f>
        <v>0</v>
      </c>
      <c r="K92" s="118">
        <f>'Property Owner Services'!P11</f>
        <v>0</v>
      </c>
      <c r="L92" s="118">
        <f>'Property Owner Services'!Q11</f>
        <v>0</v>
      </c>
      <c r="M92" s="133">
        <f>'Property Owner Services'!C47</f>
        <v>0</v>
      </c>
      <c r="N92" s="133">
        <f>'Property Owner Services'!D47</f>
        <v>0</v>
      </c>
      <c r="O92" s="133">
        <f>'Property Owner Services'!E47</f>
        <v>0</v>
      </c>
      <c r="P92" s="133">
        <f>'Property Owner Services'!F47</f>
        <v>0</v>
      </c>
      <c r="Q92" s="133">
        <f>'Property Owner Services'!G47</f>
        <v>0</v>
      </c>
      <c r="R92" s="133">
        <f>'Property Owner Services'!H47</f>
        <v>0</v>
      </c>
      <c r="S92" s="133">
        <f>'Property Owner Services'!I47</f>
        <v>0</v>
      </c>
      <c r="T92" s="133">
        <f>'Property Owner Services'!J47</f>
        <v>0</v>
      </c>
      <c r="U92" s="133">
        <f>'Property Owner Services'!K47</f>
        <v>0</v>
      </c>
      <c r="V92" s="133">
        <f>'Property Owner Services'!L47</f>
        <v>0</v>
      </c>
      <c r="W92" s="133">
        <f>'Property Owner Services'!M47</f>
        <v>0</v>
      </c>
      <c r="X92" s="133">
        <f>'Property Owner Services'!N47</f>
        <v>0</v>
      </c>
      <c r="Y92" s="130">
        <f t="shared" si="14"/>
        <v>0</v>
      </c>
      <c r="Z92" s="113">
        <f t="shared" si="22"/>
        <v>0</v>
      </c>
      <c r="AA92" s="100">
        <f>+'General Fund'!Y92+'Road Fund'!Y92+'Lake Fund'!Y92+'Emergency Fund'!Y92-Y92</f>
        <v>0</v>
      </c>
    </row>
    <row r="93" spans="1:27" x14ac:dyDescent="0.25">
      <c r="A93" s="107"/>
      <c r="B93" s="107"/>
      <c r="C93" s="107"/>
      <c r="D93" s="107"/>
      <c r="E93" s="107"/>
      <c r="F93" s="132" t="s">
        <v>305</v>
      </c>
      <c r="G93" s="107"/>
      <c r="H93" s="118">
        <f>'Property Owner Services'!M12</f>
        <v>3600</v>
      </c>
      <c r="I93" s="118">
        <f>'Property Owner Services'!N12</f>
        <v>3600</v>
      </c>
      <c r="J93" s="118">
        <f>'Property Owner Services'!O12</f>
        <v>3600</v>
      </c>
      <c r="K93" s="118">
        <f>'Property Owner Services'!P12</f>
        <v>3600</v>
      </c>
      <c r="L93" s="118">
        <f>'Property Owner Services'!Q12</f>
        <v>3600</v>
      </c>
      <c r="M93" s="133">
        <f>'Property Owner Services'!C48</f>
        <v>300</v>
      </c>
      <c r="N93" s="133">
        <f>'Property Owner Services'!D48</f>
        <v>300</v>
      </c>
      <c r="O93" s="133">
        <f>'Property Owner Services'!E48</f>
        <v>300</v>
      </c>
      <c r="P93" s="133">
        <f>'Property Owner Services'!F48</f>
        <v>300</v>
      </c>
      <c r="Q93" s="133">
        <f>'Property Owner Services'!G48</f>
        <v>300</v>
      </c>
      <c r="R93" s="133">
        <f>'Property Owner Services'!H48</f>
        <v>300</v>
      </c>
      <c r="S93" s="133">
        <f>'Property Owner Services'!I48</f>
        <v>300</v>
      </c>
      <c r="T93" s="133">
        <f>'Property Owner Services'!J48</f>
        <v>300</v>
      </c>
      <c r="U93" s="133">
        <f>'Property Owner Services'!K48</f>
        <v>300</v>
      </c>
      <c r="V93" s="133">
        <f>'Property Owner Services'!L48</f>
        <v>300</v>
      </c>
      <c r="W93" s="133">
        <f>'Property Owner Services'!M48</f>
        <v>300</v>
      </c>
      <c r="X93" s="133">
        <f>'Property Owner Services'!N48</f>
        <v>300</v>
      </c>
      <c r="Y93" s="130">
        <f t="shared" si="14"/>
        <v>3600</v>
      </c>
      <c r="Z93" s="113">
        <f t="shared" si="22"/>
        <v>0</v>
      </c>
      <c r="AA93" s="100">
        <f>+'General Fund'!Y93+'Road Fund'!Y93+'Lake Fund'!Y93+'Emergency Fund'!Y93-Y93</f>
        <v>0</v>
      </c>
    </row>
    <row r="94" spans="1:27" x14ac:dyDescent="0.25">
      <c r="A94" s="107"/>
      <c r="B94" s="107"/>
      <c r="C94" s="107"/>
      <c r="D94" s="107"/>
      <c r="E94" s="107"/>
      <c r="F94" s="132" t="s">
        <v>163</v>
      </c>
      <c r="G94" s="107"/>
      <c r="H94" s="118">
        <f>'Property Owner Services'!M13</f>
        <v>1028.7825</v>
      </c>
      <c r="I94" s="118">
        <f>'Property Owner Services'!N13</f>
        <v>1050.4068749999999</v>
      </c>
      <c r="J94" s="118">
        <f>'Property Owner Services'!O13</f>
        <v>1102.621695</v>
      </c>
      <c r="K94" s="118">
        <f>'Property Owner Services'!P13</f>
        <v>1155.6557975999999</v>
      </c>
      <c r="L94" s="118">
        <f>'Property Owner Services'!Q13</f>
        <v>1209.5337612779999</v>
      </c>
      <c r="M94" s="133">
        <f>'Property Owner Services'!C49</f>
        <v>85.731875000000002</v>
      </c>
      <c r="N94" s="133">
        <f>'Property Owner Services'!D49</f>
        <v>85.731875000000002</v>
      </c>
      <c r="O94" s="133">
        <f>'Property Owner Services'!E49</f>
        <v>85.731875000000002</v>
      </c>
      <c r="P94" s="133">
        <f>'Property Owner Services'!F49</f>
        <v>85.731875000000002</v>
      </c>
      <c r="Q94" s="133">
        <f>'Property Owner Services'!G49</f>
        <v>85.731875000000002</v>
      </c>
      <c r="R94" s="133">
        <f>'Property Owner Services'!H49</f>
        <v>85.731875000000002</v>
      </c>
      <c r="S94" s="133">
        <f>'Property Owner Services'!I49</f>
        <v>85.731875000000002</v>
      </c>
      <c r="T94" s="133">
        <f>'Property Owner Services'!J49</f>
        <v>85.731875000000002</v>
      </c>
      <c r="U94" s="133">
        <f>'Property Owner Services'!K49</f>
        <v>85.731875000000002</v>
      </c>
      <c r="V94" s="133">
        <f>'Property Owner Services'!L49</f>
        <v>85.731875000000002</v>
      </c>
      <c r="W94" s="133">
        <f>'Property Owner Services'!M49</f>
        <v>85.731875000000002</v>
      </c>
      <c r="X94" s="133">
        <f>'Property Owner Services'!N49</f>
        <v>85.731875000000002</v>
      </c>
      <c r="Y94" s="130">
        <f t="shared" si="14"/>
        <v>1028.7824999999998</v>
      </c>
      <c r="Z94" s="113">
        <f t="shared" si="22"/>
        <v>0</v>
      </c>
      <c r="AA94" s="100">
        <f>+'General Fund'!Y94+'Road Fund'!Y94+'Lake Fund'!Y94+'Emergency Fund'!Y94-Y94</f>
        <v>0</v>
      </c>
    </row>
    <row r="95" spans="1:27" x14ac:dyDescent="0.25">
      <c r="A95" s="107"/>
      <c r="B95" s="107"/>
      <c r="C95" s="107"/>
      <c r="D95" s="107"/>
      <c r="E95" s="107"/>
      <c r="F95" s="132" t="s">
        <v>62</v>
      </c>
      <c r="G95" s="107"/>
      <c r="H95" s="118">
        <f>'Property Owner Services'!M14</f>
        <v>9084</v>
      </c>
      <c r="I95" s="118">
        <f>'Property Owner Services'!N14</f>
        <v>9220.2599999999984</v>
      </c>
      <c r="J95" s="118">
        <f>'Property Owner Services'!O14</f>
        <v>9358.5638999999974</v>
      </c>
      <c r="K95" s="118">
        <f>'Property Owner Services'!P14</f>
        <v>9498.9423584999968</v>
      </c>
      <c r="L95" s="118">
        <f>'Property Owner Services'!Q14</f>
        <v>9641.4264938774959</v>
      </c>
      <c r="M95" s="133">
        <f>'Property Owner Services'!C50</f>
        <v>757</v>
      </c>
      <c r="N95" s="133">
        <f>'Property Owner Services'!D50</f>
        <v>757</v>
      </c>
      <c r="O95" s="133">
        <f>'Property Owner Services'!E50</f>
        <v>757</v>
      </c>
      <c r="P95" s="133">
        <f>'Property Owner Services'!F50</f>
        <v>757</v>
      </c>
      <c r="Q95" s="133">
        <f>'Property Owner Services'!G50</f>
        <v>757</v>
      </c>
      <c r="R95" s="133">
        <f>'Property Owner Services'!H50</f>
        <v>757</v>
      </c>
      <c r="S95" s="133">
        <f>'Property Owner Services'!I50</f>
        <v>757</v>
      </c>
      <c r="T95" s="133">
        <f>'Property Owner Services'!J50</f>
        <v>757</v>
      </c>
      <c r="U95" s="133">
        <f>'Property Owner Services'!K50</f>
        <v>757</v>
      </c>
      <c r="V95" s="133">
        <f>'Property Owner Services'!L50</f>
        <v>757</v>
      </c>
      <c r="W95" s="133">
        <f>'Property Owner Services'!M50</f>
        <v>757</v>
      </c>
      <c r="X95" s="133">
        <f>'Property Owner Services'!N50</f>
        <v>757</v>
      </c>
      <c r="Y95" s="130">
        <f t="shared" si="14"/>
        <v>9084</v>
      </c>
      <c r="Z95" s="113">
        <f t="shared" si="22"/>
        <v>0</v>
      </c>
      <c r="AA95" s="100">
        <f>+'General Fund'!Y95+'Road Fund'!Y95+'Lake Fund'!Y95+'Emergency Fund'!Y95-Y95</f>
        <v>0</v>
      </c>
    </row>
    <row r="96" spans="1:27" x14ac:dyDescent="0.25">
      <c r="A96" s="107"/>
      <c r="B96" s="107"/>
      <c r="C96" s="107"/>
      <c r="D96" s="107"/>
      <c r="E96" s="107"/>
      <c r="F96" s="132" t="s">
        <v>63</v>
      </c>
      <c r="G96" s="107"/>
      <c r="H96" s="118">
        <f>'Property Owner Services'!M15</f>
        <v>4104</v>
      </c>
      <c r="I96" s="118">
        <f>'Property Owner Services'!N15</f>
        <v>4165.5599999999995</v>
      </c>
      <c r="J96" s="118">
        <f>'Property Owner Services'!O15</f>
        <v>4228.0433999999987</v>
      </c>
      <c r="K96" s="118">
        <f>'Property Owner Services'!P15</f>
        <v>4291.4640509999981</v>
      </c>
      <c r="L96" s="118">
        <f>'Property Owner Services'!Q15</f>
        <v>4355.8360117649972</v>
      </c>
      <c r="M96" s="133">
        <f>'Property Owner Services'!C51</f>
        <v>342</v>
      </c>
      <c r="N96" s="133">
        <f>'Property Owner Services'!D51</f>
        <v>342</v>
      </c>
      <c r="O96" s="133">
        <f>'Property Owner Services'!E51</f>
        <v>342</v>
      </c>
      <c r="P96" s="133">
        <f>'Property Owner Services'!F51</f>
        <v>342</v>
      </c>
      <c r="Q96" s="133">
        <f>'Property Owner Services'!G51</f>
        <v>342</v>
      </c>
      <c r="R96" s="133">
        <f>'Property Owner Services'!H51</f>
        <v>342</v>
      </c>
      <c r="S96" s="133">
        <f>'Property Owner Services'!I51</f>
        <v>342</v>
      </c>
      <c r="T96" s="133">
        <f>'Property Owner Services'!J51</f>
        <v>342</v>
      </c>
      <c r="U96" s="133">
        <f>'Property Owner Services'!K51</f>
        <v>342</v>
      </c>
      <c r="V96" s="133">
        <f>'Property Owner Services'!L51</f>
        <v>342</v>
      </c>
      <c r="W96" s="133">
        <f>'Property Owner Services'!M51</f>
        <v>342</v>
      </c>
      <c r="X96" s="133">
        <f>'Property Owner Services'!N51</f>
        <v>342</v>
      </c>
      <c r="Y96" s="130">
        <f t="shared" si="14"/>
        <v>4104</v>
      </c>
      <c r="Z96" s="113">
        <f t="shared" si="22"/>
        <v>0</v>
      </c>
      <c r="AA96" s="100">
        <f>+'General Fund'!Y96+'Road Fund'!Y96+'Lake Fund'!Y96+'Emergency Fund'!Y96-Y96</f>
        <v>0</v>
      </c>
    </row>
    <row r="97" spans="1:27" x14ac:dyDescent="0.25">
      <c r="A97" s="107"/>
      <c r="B97" s="107"/>
      <c r="C97" s="107"/>
      <c r="D97" s="107"/>
      <c r="E97" s="107"/>
      <c r="F97" s="132" t="s">
        <v>64</v>
      </c>
      <c r="G97" s="107"/>
      <c r="H97" s="118">
        <f>'Property Owner Services'!M16</f>
        <v>5246.7907500000001</v>
      </c>
      <c r="I97" s="118">
        <f>'Property Owner Services'!N16</f>
        <v>5357.0750625000001</v>
      </c>
      <c r="J97" s="118">
        <f>'Property Owner Services'!O16</f>
        <v>5623.3706445000007</v>
      </c>
      <c r="K97" s="118">
        <f>'Property Owner Services'!P16</f>
        <v>5893.8445677599993</v>
      </c>
      <c r="L97" s="118">
        <f>'Property Owner Services'!Q16</f>
        <v>6168.6221825178</v>
      </c>
      <c r="M97" s="133">
        <f>'Property Owner Services'!C52</f>
        <v>437.23256250000003</v>
      </c>
      <c r="N97" s="133">
        <f>'Property Owner Services'!D52</f>
        <v>437.23256250000003</v>
      </c>
      <c r="O97" s="133">
        <f>'Property Owner Services'!E52</f>
        <v>437.23256250000003</v>
      </c>
      <c r="P97" s="133">
        <f>'Property Owner Services'!F52</f>
        <v>437.23256250000003</v>
      </c>
      <c r="Q97" s="133">
        <f>'Property Owner Services'!G52</f>
        <v>437.23256250000003</v>
      </c>
      <c r="R97" s="133">
        <f>'Property Owner Services'!H52</f>
        <v>437.23256250000003</v>
      </c>
      <c r="S97" s="133">
        <f>'Property Owner Services'!I52</f>
        <v>437.23256250000003</v>
      </c>
      <c r="T97" s="133">
        <f>'Property Owner Services'!J52</f>
        <v>437.23256250000003</v>
      </c>
      <c r="U97" s="133">
        <f>'Property Owner Services'!K52</f>
        <v>437.23256250000003</v>
      </c>
      <c r="V97" s="133">
        <f>'Property Owner Services'!L52</f>
        <v>437.23256250000003</v>
      </c>
      <c r="W97" s="133">
        <f>'Property Owner Services'!M52</f>
        <v>437.23256250000003</v>
      </c>
      <c r="X97" s="133">
        <f>'Property Owner Services'!N52</f>
        <v>437.23256250000003</v>
      </c>
      <c r="Y97" s="130">
        <f t="shared" si="14"/>
        <v>5246.7907500000001</v>
      </c>
      <c r="Z97" s="113">
        <f t="shared" si="22"/>
        <v>0</v>
      </c>
      <c r="AA97" s="100">
        <f>+'General Fund'!Y97+'Road Fund'!Y97+'Lake Fund'!Y97+'Emergency Fund'!Y97-Y97</f>
        <v>0</v>
      </c>
    </row>
    <row r="98" spans="1:27" x14ac:dyDescent="0.25">
      <c r="A98" s="107"/>
      <c r="B98" s="107"/>
      <c r="C98" s="107"/>
      <c r="D98" s="107"/>
      <c r="E98" s="107"/>
      <c r="F98" s="132" t="s">
        <v>65</v>
      </c>
      <c r="G98" s="107"/>
      <c r="H98" s="118">
        <f>'Property Owner Services'!M17</f>
        <v>500</v>
      </c>
      <c r="I98" s="118">
        <f>'Property Owner Services'!N17</f>
        <v>500</v>
      </c>
      <c r="J98" s="118">
        <f>'Property Owner Services'!O17</f>
        <v>500</v>
      </c>
      <c r="K98" s="118">
        <f>'Property Owner Services'!P17</f>
        <v>500</v>
      </c>
      <c r="L98" s="118">
        <f>'Property Owner Services'!Q17</f>
        <v>500</v>
      </c>
      <c r="M98" s="133">
        <f>'Property Owner Services'!C53</f>
        <v>41.666666666666664</v>
      </c>
      <c r="N98" s="133">
        <f>'Property Owner Services'!D53</f>
        <v>41.666666666666664</v>
      </c>
      <c r="O98" s="133">
        <f>'Property Owner Services'!E53</f>
        <v>41.666666666666664</v>
      </c>
      <c r="P98" s="133">
        <f>'Property Owner Services'!F53</f>
        <v>41.666666666666664</v>
      </c>
      <c r="Q98" s="133">
        <f>'Property Owner Services'!G53</f>
        <v>41.666666666666664</v>
      </c>
      <c r="R98" s="133">
        <f>'Property Owner Services'!H53</f>
        <v>41.666666666666664</v>
      </c>
      <c r="S98" s="133">
        <f>'Property Owner Services'!I53</f>
        <v>41.666666666666664</v>
      </c>
      <c r="T98" s="133">
        <f>'Property Owner Services'!J53</f>
        <v>41.666666666666664</v>
      </c>
      <c r="U98" s="133">
        <f>'Property Owner Services'!K53</f>
        <v>41.666666666666664</v>
      </c>
      <c r="V98" s="133">
        <f>'Property Owner Services'!L53</f>
        <v>41.666666666666664</v>
      </c>
      <c r="W98" s="133">
        <f>'Property Owner Services'!M53</f>
        <v>41.666666666666664</v>
      </c>
      <c r="X98" s="133">
        <f>'Property Owner Services'!N53</f>
        <v>41.666666666666664</v>
      </c>
      <c r="Y98" s="130">
        <f t="shared" si="14"/>
        <v>500.00000000000006</v>
      </c>
      <c r="Z98" s="113">
        <f t="shared" si="22"/>
        <v>0</v>
      </c>
      <c r="AA98" s="100">
        <f>+'General Fund'!Y98+'Road Fund'!Y98+'Lake Fund'!Y98+'Emergency Fund'!Y98-Y98</f>
        <v>0</v>
      </c>
    </row>
    <row r="99" spans="1:27" x14ac:dyDescent="0.25">
      <c r="A99" s="107"/>
      <c r="B99" s="107"/>
      <c r="C99" s="107"/>
      <c r="D99" s="107"/>
      <c r="E99" s="107"/>
      <c r="F99" s="132" t="s">
        <v>66</v>
      </c>
      <c r="G99" s="107"/>
      <c r="H99" s="118">
        <f>'Property Owner Services'!M18</f>
        <v>0</v>
      </c>
      <c r="I99" s="118">
        <f>'Property Owner Services'!N18</f>
        <v>0</v>
      </c>
      <c r="J99" s="118">
        <f>'Property Owner Services'!O18</f>
        <v>0</v>
      </c>
      <c r="K99" s="118">
        <f>'Property Owner Services'!P18</f>
        <v>0</v>
      </c>
      <c r="L99" s="118">
        <f>'Property Owner Services'!Q18</f>
        <v>0</v>
      </c>
      <c r="M99" s="133">
        <f>'Property Owner Services'!C54</f>
        <v>0</v>
      </c>
      <c r="N99" s="133">
        <f>'Property Owner Services'!D54</f>
        <v>0</v>
      </c>
      <c r="O99" s="133">
        <f>'Property Owner Services'!E54</f>
        <v>0</v>
      </c>
      <c r="P99" s="133">
        <f>'Property Owner Services'!F54</f>
        <v>0</v>
      </c>
      <c r="Q99" s="133">
        <f>'Property Owner Services'!G54</f>
        <v>0</v>
      </c>
      <c r="R99" s="133">
        <f>'Property Owner Services'!H54</f>
        <v>0</v>
      </c>
      <c r="S99" s="133">
        <f>'Property Owner Services'!I54</f>
        <v>0</v>
      </c>
      <c r="T99" s="133">
        <f>'Property Owner Services'!J54</f>
        <v>0</v>
      </c>
      <c r="U99" s="133">
        <f>'Property Owner Services'!K54</f>
        <v>0</v>
      </c>
      <c r="V99" s="133">
        <f>'Property Owner Services'!L54</f>
        <v>0</v>
      </c>
      <c r="W99" s="133">
        <f>'Property Owner Services'!M54</f>
        <v>0</v>
      </c>
      <c r="X99" s="133">
        <f>'Property Owner Services'!N54</f>
        <v>0</v>
      </c>
      <c r="Y99" s="130">
        <f t="shared" si="14"/>
        <v>0</v>
      </c>
      <c r="Z99" s="113">
        <f t="shared" si="22"/>
        <v>0</v>
      </c>
      <c r="AA99" s="100">
        <f>+'General Fund'!Y99+'Road Fund'!Y99+'Lake Fund'!Y99+'Emergency Fund'!Y99-Y99</f>
        <v>0</v>
      </c>
    </row>
    <row r="100" spans="1:27" x14ac:dyDescent="0.25">
      <c r="A100" s="107"/>
      <c r="B100" s="107"/>
      <c r="C100" s="107"/>
      <c r="D100" s="107"/>
      <c r="E100" s="107"/>
      <c r="F100" s="132" t="s">
        <v>67</v>
      </c>
      <c r="G100" s="107"/>
      <c r="H100" s="118">
        <f>'Property Owner Services'!M19</f>
        <v>500.5</v>
      </c>
      <c r="I100" s="118">
        <f>'Property Owner Services'!N19</f>
        <v>500.5</v>
      </c>
      <c r="J100" s="118">
        <f>'Property Owner Services'!O19</f>
        <v>500.5</v>
      </c>
      <c r="K100" s="118">
        <f>'Property Owner Services'!P19</f>
        <v>500.5</v>
      </c>
      <c r="L100" s="118">
        <f>'Property Owner Services'!Q19</f>
        <v>500.5</v>
      </c>
      <c r="M100" s="133">
        <f>'Property Owner Services'!C55</f>
        <v>41.708333333333336</v>
      </c>
      <c r="N100" s="133">
        <f>'Property Owner Services'!D55</f>
        <v>41.708333333333336</v>
      </c>
      <c r="O100" s="133">
        <f>'Property Owner Services'!E55</f>
        <v>41.708333333333336</v>
      </c>
      <c r="P100" s="133">
        <f>'Property Owner Services'!F55</f>
        <v>41.708333333333336</v>
      </c>
      <c r="Q100" s="133">
        <f>'Property Owner Services'!G55</f>
        <v>41.708333333333336</v>
      </c>
      <c r="R100" s="133">
        <f>'Property Owner Services'!H55</f>
        <v>41.708333333333336</v>
      </c>
      <c r="S100" s="133">
        <f>'Property Owner Services'!I55</f>
        <v>41.708333333333336</v>
      </c>
      <c r="T100" s="133">
        <f>'Property Owner Services'!J55</f>
        <v>41.708333333333336</v>
      </c>
      <c r="U100" s="133">
        <f>'Property Owner Services'!K55</f>
        <v>41.708333333333336</v>
      </c>
      <c r="V100" s="133">
        <f>'Property Owner Services'!L55</f>
        <v>41.708333333333336</v>
      </c>
      <c r="W100" s="133">
        <f>'Property Owner Services'!M55</f>
        <v>41.708333333333336</v>
      </c>
      <c r="X100" s="133">
        <f>'Property Owner Services'!N55</f>
        <v>41.708333333333336</v>
      </c>
      <c r="Y100" s="130">
        <f t="shared" si="14"/>
        <v>500.49999999999994</v>
      </c>
      <c r="Z100" s="113">
        <f t="shared" si="22"/>
        <v>0</v>
      </c>
      <c r="AA100" s="100">
        <f>+'General Fund'!Y100+'Road Fund'!Y100+'Lake Fund'!Y100+'Emergency Fund'!Y100-Y100</f>
        <v>0</v>
      </c>
    </row>
    <row r="101" spans="1:27" x14ac:dyDescent="0.25">
      <c r="A101" s="107"/>
      <c r="B101" s="107"/>
      <c r="C101" s="107"/>
      <c r="D101" s="107"/>
      <c r="E101" s="107"/>
      <c r="F101" s="132" t="s">
        <v>68</v>
      </c>
      <c r="G101" s="107"/>
      <c r="H101" s="118">
        <f>'Property Owner Services'!M20</f>
        <v>500</v>
      </c>
      <c r="I101" s="118">
        <f>'Property Owner Services'!N20</f>
        <v>500</v>
      </c>
      <c r="J101" s="118">
        <f>'Property Owner Services'!O20</f>
        <v>500</v>
      </c>
      <c r="K101" s="118">
        <f>'Property Owner Services'!P20</f>
        <v>500</v>
      </c>
      <c r="L101" s="118">
        <f>'Property Owner Services'!Q20</f>
        <v>500</v>
      </c>
      <c r="M101" s="133">
        <f>'Property Owner Services'!C56</f>
        <v>41.666666666666664</v>
      </c>
      <c r="N101" s="133">
        <f>'Property Owner Services'!D56</f>
        <v>41.666666666666664</v>
      </c>
      <c r="O101" s="133">
        <f>'Property Owner Services'!E56</f>
        <v>41.666666666666664</v>
      </c>
      <c r="P101" s="133">
        <f>'Property Owner Services'!F56</f>
        <v>41.666666666666664</v>
      </c>
      <c r="Q101" s="133">
        <f>'Property Owner Services'!G56</f>
        <v>41.666666666666664</v>
      </c>
      <c r="R101" s="133">
        <f>'Property Owner Services'!H56</f>
        <v>41.666666666666664</v>
      </c>
      <c r="S101" s="133">
        <f>'Property Owner Services'!I56</f>
        <v>41.666666666666664</v>
      </c>
      <c r="T101" s="133">
        <f>'Property Owner Services'!J56</f>
        <v>41.666666666666664</v>
      </c>
      <c r="U101" s="133">
        <f>'Property Owner Services'!K56</f>
        <v>41.666666666666664</v>
      </c>
      <c r="V101" s="133">
        <f>'Property Owner Services'!L56</f>
        <v>41.666666666666664</v>
      </c>
      <c r="W101" s="133">
        <f>'Property Owner Services'!M56</f>
        <v>41.666666666666664</v>
      </c>
      <c r="X101" s="133">
        <f>'Property Owner Services'!N56</f>
        <v>41.666666666666664</v>
      </c>
      <c r="Y101" s="130">
        <f t="shared" si="14"/>
        <v>500.00000000000006</v>
      </c>
      <c r="Z101" s="113">
        <f t="shared" si="22"/>
        <v>0</v>
      </c>
      <c r="AA101" s="100">
        <f>+'General Fund'!Y101+'Road Fund'!Y101+'Lake Fund'!Y101+'Emergency Fund'!Y101-Y101</f>
        <v>0</v>
      </c>
    </row>
    <row r="102" spans="1:27" x14ac:dyDescent="0.25">
      <c r="A102" s="107"/>
      <c r="B102" s="107"/>
      <c r="C102" s="107"/>
      <c r="D102" s="107"/>
      <c r="E102" s="107"/>
      <c r="F102" s="132" t="s">
        <v>69</v>
      </c>
      <c r="G102" s="107"/>
      <c r="H102" s="118">
        <f>'Property Owner Services'!M21</f>
        <v>735.25</v>
      </c>
      <c r="I102" s="118">
        <f>'Property Owner Services'!N21</f>
        <v>700</v>
      </c>
      <c r="J102" s="118">
        <f>'Property Owner Services'!O21</f>
        <v>735.25</v>
      </c>
      <c r="K102" s="118">
        <f>'Property Owner Services'!P21</f>
        <v>700</v>
      </c>
      <c r="L102" s="118">
        <f>'Property Owner Services'!Q21</f>
        <v>735.25</v>
      </c>
      <c r="M102" s="133">
        <f>'Property Owner Services'!C57</f>
        <v>61.270833333333336</v>
      </c>
      <c r="N102" s="133">
        <f>'Property Owner Services'!D57</f>
        <v>61.270833333333336</v>
      </c>
      <c r="O102" s="133">
        <f>'Property Owner Services'!E57</f>
        <v>61.270833333333336</v>
      </c>
      <c r="P102" s="133">
        <f>'Property Owner Services'!F57</f>
        <v>61.270833333333336</v>
      </c>
      <c r="Q102" s="133">
        <f>'Property Owner Services'!G57</f>
        <v>61.270833333333336</v>
      </c>
      <c r="R102" s="133">
        <f>'Property Owner Services'!H57</f>
        <v>61.270833333333336</v>
      </c>
      <c r="S102" s="133">
        <f>'Property Owner Services'!I57</f>
        <v>61.270833333333336</v>
      </c>
      <c r="T102" s="133">
        <f>'Property Owner Services'!J57</f>
        <v>61.270833333333336</v>
      </c>
      <c r="U102" s="133">
        <f>'Property Owner Services'!K57</f>
        <v>61.270833333333336</v>
      </c>
      <c r="V102" s="133">
        <f>'Property Owner Services'!L57</f>
        <v>61.270833333333336</v>
      </c>
      <c r="W102" s="133">
        <f>'Property Owner Services'!M57</f>
        <v>61.270833333333336</v>
      </c>
      <c r="X102" s="133">
        <f>'Property Owner Services'!N57</f>
        <v>61.270833333333336</v>
      </c>
      <c r="Y102" s="130">
        <f t="shared" si="14"/>
        <v>735.25000000000011</v>
      </c>
      <c r="Z102" s="113">
        <f t="shared" si="22"/>
        <v>0</v>
      </c>
      <c r="AA102" s="100">
        <f>+'General Fund'!Y102+'Road Fund'!Y102+'Lake Fund'!Y102+'Emergency Fund'!Y102-Y102</f>
        <v>0</v>
      </c>
    </row>
    <row r="103" spans="1:27" x14ac:dyDescent="0.25">
      <c r="A103" s="107"/>
      <c r="B103" s="107"/>
      <c r="C103" s="107"/>
      <c r="D103" s="107"/>
      <c r="E103" s="107"/>
      <c r="F103" s="132" t="s">
        <v>70</v>
      </c>
      <c r="G103" s="107"/>
      <c r="H103" s="118">
        <f>'Property Owner Services'!M22</f>
        <v>135</v>
      </c>
      <c r="I103" s="118">
        <f>'Property Owner Services'!N22</f>
        <v>135</v>
      </c>
      <c r="J103" s="118">
        <f>'Property Owner Services'!O22</f>
        <v>135</v>
      </c>
      <c r="K103" s="118">
        <f>'Property Owner Services'!P22</f>
        <v>135</v>
      </c>
      <c r="L103" s="118">
        <f>'Property Owner Services'!Q22</f>
        <v>135</v>
      </c>
      <c r="M103" s="133">
        <f>'Property Owner Services'!C58</f>
        <v>11.25</v>
      </c>
      <c r="N103" s="133">
        <f>'Property Owner Services'!D58</f>
        <v>11.25</v>
      </c>
      <c r="O103" s="133">
        <f>'Property Owner Services'!E58</f>
        <v>11.25</v>
      </c>
      <c r="P103" s="133">
        <f>'Property Owner Services'!F58</f>
        <v>11.25</v>
      </c>
      <c r="Q103" s="133">
        <f>'Property Owner Services'!G58</f>
        <v>11.25</v>
      </c>
      <c r="R103" s="133">
        <f>'Property Owner Services'!H58</f>
        <v>11.25</v>
      </c>
      <c r="S103" s="133">
        <f>'Property Owner Services'!I58</f>
        <v>11.25</v>
      </c>
      <c r="T103" s="133">
        <f>'Property Owner Services'!J58</f>
        <v>11.25</v>
      </c>
      <c r="U103" s="133">
        <f>'Property Owner Services'!K58</f>
        <v>11.25</v>
      </c>
      <c r="V103" s="133">
        <f>'Property Owner Services'!L58</f>
        <v>11.25</v>
      </c>
      <c r="W103" s="133">
        <f>'Property Owner Services'!M58</f>
        <v>11.25</v>
      </c>
      <c r="X103" s="133">
        <f>'Property Owner Services'!N58</f>
        <v>11.25</v>
      </c>
      <c r="Y103" s="130">
        <f t="shared" si="14"/>
        <v>135</v>
      </c>
      <c r="Z103" s="113">
        <f t="shared" si="22"/>
        <v>0</v>
      </c>
      <c r="AA103" s="100">
        <f>+'General Fund'!Y103+'Road Fund'!Y103+'Lake Fund'!Y103+'Emergency Fund'!Y103-Y103</f>
        <v>0</v>
      </c>
    </row>
    <row r="104" spans="1:27" x14ac:dyDescent="0.25">
      <c r="A104" s="107"/>
      <c r="B104" s="107"/>
      <c r="C104" s="107"/>
      <c r="D104" s="107"/>
      <c r="E104" s="107"/>
      <c r="F104" s="132" t="s">
        <v>71</v>
      </c>
      <c r="G104" s="107"/>
      <c r="H104" s="118">
        <f>'Property Owner Services'!M23</f>
        <v>225</v>
      </c>
      <c r="I104" s="118">
        <f>'Property Owner Services'!N23</f>
        <v>225</v>
      </c>
      <c r="J104" s="118">
        <f>'Property Owner Services'!O23</f>
        <v>225</v>
      </c>
      <c r="K104" s="118">
        <f>'Property Owner Services'!P23</f>
        <v>225</v>
      </c>
      <c r="L104" s="118">
        <f>'Property Owner Services'!Q23</f>
        <v>225</v>
      </c>
      <c r="M104" s="133">
        <f>'Property Owner Services'!C59</f>
        <v>18.75</v>
      </c>
      <c r="N104" s="133">
        <f>'Property Owner Services'!D59</f>
        <v>18.75</v>
      </c>
      <c r="O104" s="133">
        <f>'Property Owner Services'!E59</f>
        <v>18.75</v>
      </c>
      <c r="P104" s="133">
        <f>'Property Owner Services'!F59</f>
        <v>18.75</v>
      </c>
      <c r="Q104" s="133">
        <f>'Property Owner Services'!G59</f>
        <v>18.75</v>
      </c>
      <c r="R104" s="133">
        <f>'Property Owner Services'!H59</f>
        <v>18.75</v>
      </c>
      <c r="S104" s="133">
        <f>'Property Owner Services'!I59</f>
        <v>18.75</v>
      </c>
      <c r="T104" s="133">
        <f>'Property Owner Services'!J59</f>
        <v>18.75</v>
      </c>
      <c r="U104" s="133">
        <f>'Property Owner Services'!K59</f>
        <v>18.75</v>
      </c>
      <c r="V104" s="133">
        <f>'Property Owner Services'!L59</f>
        <v>18.75</v>
      </c>
      <c r="W104" s="133">
        <f>'Property Owner Services'!M59</f>
        <v>18.75</v>
      </c>
      <c r="X104" s="133">
        <f>'Property Owner Services'!N59</f>
        <v>18.75</v>
      </c>
      <c r="Y104" s="130">
        <f t="shared" si="14"/>
        <v>225</v>
      </c>
      <c r="Z104" s="113">
        <f t="shared" si="22"/>
        <v>0</v>
      </c>
      <c r="AA104" s="100">
        <f>+'General Fund'!Y104+'Road Fund'!Y104+'Lake Fund'!Y104+'Emergency Fund'!Y104-Y104</f>
        <v>0</v>
      </c>
    </row>
    <row r="105" spans="1:27" x14ac:dyDescent="0.25">
      <c r="A105" s="107"/>
      <c r="B105" s="107"/>
      <c r="C105" s="107"/>
      <c r="D105" s="107"/>
      <c r="E105" s="107"/>
      <c r="F105" s="132" t="s">
        <v>72</v>
      </c>
      <c r="G105" s="107"/>
      <c r="H105" s="118">
        <f>'Property Owner Services'!M24</f>
        <v>0</v>
      </c>
      <c r="I105" s="118">
        <f>'Property Owner Services'!N24</f>
        <v>0</v>
      </c>
      <c r="J105" s="118">
        <f>'Property Owner Services'!O24</f>
        <v>0</v>
      </c>
      <c r="K105" s="118">
        <f>'Property Owner Services'!P24</f>
        <v>0</v>
      </c>
      <c r="L105" s="118">
        <f>'Property Owner Services'!Q24</f>
        <v>0</v>
      </c>
      <c r="M105" s="133">
        <f>'Property Owner Services'!C60</f>
        <v>0</v>
      </c>
      <c r="N105" s="133">
        <f>'Property Owner Services'!D60</f>
        <v>0</v>
      </c>
      <c r="O105" s="133">
        <f>'Property Owner Services'!E60</f>
        <v>0</v>
      </c>
      <c r="P105" s="133">
        <f>'Property Owner Services'!F60</f>
        <v>0</v>
      </c>
      <c r="Q105" s="133">
        <f>'Property Owner Services'!G60</f>
        <v>0</v>
      </c>
      <c r="R105" s="133">
        <f>'Property Owner Services'!H60</f>
        <v>0</v>
      </c>
      <c r="S105" s="133">
        <f>'Property Owner Services'!I60</f>
        <v>0</v>
      </c>
      <c r="T105" s="133">
        <f>'Property Owner Services'!J60</f>
        <v>0</v>
      </c>
      <c r="U105" s="133">
        <f>'Property Owner Services'!K60</f>
        <v>0</v>
      </c>
      <c r="V105" s="133">
        <f>'Property Owner Services'!L60</f>
        <v>0</v>
      </c>
      <c r="W105" s="133">
        <f>'Property Owner Services'!M60</f>
        <v>0</v>
      </c>
      <c r="X105" s="133">
        <f>'Property Owner Services'!N60</f>
        <v>0</v>
      </c>
      <c r="Y105" s="130">
        <f t="shared" si="14"/>
        <v>0</v>
      </c>
      <c r="Z105" s="113">
        <f t="shared" si="22"/>
        <v>0</v>
      </c>
      <c r="AA105" s="100">
        <f>+'General Fund'!Y105+'Road Fund'!Y105+'Lake Fund'!Y105+'Emergency Fund'!Y105-Y105</f>
        <v>0</v>
      </c>
    </row>
    <row r="106" spans="1:27" x14ac:dyDescent="0.25">
      <c r="A106" s="107"/>
      <c r="B106" s="107"/>
      <c r="C106" s="107"/>
      <c r="D106" s="107"/>
      <c r="E106" s="107"/>
      <c r="F106" s="132" t="s">
        <v>73</v>
      </c>
      <c r="G106" s="107"/>
      <c r="H106" s="118">
        <f>'Property Owner Services'!M25</f>
        <v>761</v>
      </c>
      <c r="I106" s="118">
        <f>'Property Owner Services'!N25</f>
        <v>165.83</v>
      </c>
      <c r="J106" s="118">
        <f>'Property Owner Services'!O25</f>
        <v>168.31745000000001</v>
      </c>
      <c r="K106" s="118">
        <f>'Property Owner Services'!P25</f>
        <v>170.84221174999999</v>
      </c>
      <c r="L106" s="118">
        <f>'Property Owner Services'!Q25</f>
        <v>173.40484492624998</v>
      </c>
      <c r="M106" s="133">
        <f>'Property Owner Services'!C61</f>
        <v>63.416666666666664</v>
      </c>
      <c r="N106" s="133">
        <f>'Property Owner Services'!D61</f>
        <v>63.416666666666664</v>
      </c>
      <c r="O106" s="133">
        <f>'Property Owner Services'!E61</f>
        <v>63.416666666666664</v>
      </c>
      <c r="P106" s="133">
        <f>'Property Owner Services'!F61</f>
        <v>63.416666666666664</v>
      </c>
      <c r="Q106" s="133">
        <f>'Property Owner Services'!G61</f>
        <v>63.416666666666664</v>
      </c>
      <c r="R106" s="133">
        <f>'Property Owner Services'!H61</f>
        <v>63.416666666666664</v>
      </c>
      <c r="S106" s="133">
        <f>'Property Owner Services'!I61</f>
        <v>63.416666666666664</v>
      </c>
      <c r="T106" s="133">
        <f>'Property Owner Services'!J61</f>
        <v>63.416666666666664</v>
      </c>
      <c r="U106" s="133">
        <f>'Property Owner Services'!K61</f>
        <v>63.416666666666664</v>
      </c>
      <c r="V106" s="133">
        <f>'Property Owner Services'!L61</f>
        <v>63.416666666666664</v>
      </c>
      <c r="W106" s="133">
        <f>'Property Owner Services'!M61</f>
        <v>63.416666666666664</v>
      </c>
      <c r="X106" s="133">
        <f>'Property Owner Services'!N61</f>
        <v>63.416666666666664</v>
      </c>
      <c r="Y106" s="130">
        <f t="shared" si="14"/>
        <v>760.99999999999989</v>
      </c>
      <c r="Z106" s="113">
        <f t="shared" si="22"/>
        <v>0</v>
      </c>
      <c r="AA106" s="100">
        <f>+'General Fund'!Y106+'Road Fund'!Y106+'Lake Fund'!Y106+'Emergency Fund'!Y106-Y106</f>
        <v>0</v>
      </c>
    </row>
    <row r="107" spans="1:27" x14ac:dyDescent="0.25">
      <c r="A107" s="107"/>
      <c r="B107" s="107"/>
      <c r="C107" s="107"/>
      <c r="D107" s="107"/>
      <c r="E107" s="107"/>
      <c r="F107" s="132" t="s">
        <v>74</v>
      </c>
      <c r="G107" s="107"/>
      <c r="H107" s="118">
        <f>'Property Owner Services'!M26</f>
        <v>300</v>
      </c>
      <c r="I107" s="118">
        <f>'Property Owner Services'!N26</f>
        <v>300</v>
      </c>
      <c r="J107" s="118">
        <f>'Property Owner Services'!O26</f>
        <v>300</v>
      </c>
      <c r="K107" s="118">
        <f>'Property Owner Services'!P26</f>
        <v>300</v>
      </c>
      <c r="L107" s="118">
        <f>'Property Owner Services'!Q26</f>
        <v>300</v>
      </c>
      <c r="M107" s="133">
        <f>'Property Owner Services'!C62</f>
        <v>25</v>
      </c>
      <c r="N107" s="133">
        <f>'Property Owner Services'!D62</f>
        <v>25</v>
      </c>
      <c r="O107" s="133">
        <f>'Property Owner Services'!E62</f>
        <v>25</v>
      </c>
      <c r="P107" s="133">
        <f>'Property Owner Services'!F62</f>
        <v>25</v>
      </c>
      <c r="Q107" s="133">
        <f>'Property Owner Services'!G62</f>
        <v>25</v>
      </c>
      <c r="R107" s="133">
        <f>'Property Owner Services'!H62</f>
        <v>25</v>
      </c>
      <c r="S107" s="133">
        <f>'Property Owner Services'!I62</f>
        <v>25</v>
      </c>
      <c r="T107" s="133">
        <f>'Property Owner Services'!J62</f>
        <v>25</v>
      </c>
      <c r="U107" s="133">
        <f>'Property Owner Services'!K62</f>
        <v>25</v>
      </c>
      <c r="V107" s="133">
        <f>'Property Owner Services'!L62</f>
        <v>25</v>
      </c>
      <c r="W107" s="133">
        <f>'Property Owner Services'!M62</f>
        <v>25</v>
      </c>
      <c r="X107" s="133">
        <f>'Property Owner Services'!N62</f>
        <v>25</v>
      </c>
      <c r="Y107" s="130">
        <f t="shared" si="14"/>
        <v>300</v>
      </c>
      <c r="Z107" s="113">
        <f t="shared" si="22"/>
        <v>0</v>
      </c>
      <c r="AA107" s="100">
        <f>+'General Fund'!Y107+'Road Fund'!Y107+'Lake Fund'!Y107+'Emergency Fund'!Y107-Y107</f>
        <v>0</v>
      </c>
    </row>
    <row r="108" spans="1:27" x14ac:dyDescent="0.25">
      <c r="A108" s="107"/>
      <c r="B108" s="107"/>
      <c r="C108" s="107"/>
      <c r="D108" s="107"/>
      <c r="E108" s="107"/>
      <c r="F108" s="132" t="s">
        <v>75</v>
      </c>
      <c r="G108" s="107"/>
      <c r="H108" s="118">
        <f>'Property Owner Services'!M27</f>
        <v>0</v>
      </c>
      <c r="I108" s="118">
        <f>'Property Owner Services'!N27</f>
        <v>0</v>
      </c>
      <c r="J108" s="118">
        <f>'Property Owner Services'!O27</f>
        <v>0</v>
      </c>
      <c r="K108" s="118">
        <f>'Property Owner Services'!P27</f>
        <v>0</v>
      </c>
      <c r="L108" s="118">
        <f>'Property Owner Services'!Q27</f>
        <v>0</v>
      </c>
      <c r="M108" s="133">
        <f>'Property Owner Services'!C63</f>
        <v>0</v>
      </c>
      <c r="N108" s="133">
        <f>'Property Owner Services'!D63</f>
        <v>0</v>
      </c>
      <c r="O108" s="133">
        <f>'Property Owner Services'!E63</f>
        <v>0</v>
      </c>
      <c r="P108" s="133">
        <f>'Property Owner Services'!F63</f>
        <v>0</v>
      </c>
      <c r="Q108" s="133">
        <f>'Property Owner Services'!G63</f>
        <v>0</v>
      </c>
      <c r="R108" s="133">
        <f>'Property Owner Services'!H63</f>
        <v>0</v>
      </c>
      <c r="S108" s="133">
        <f>'Property Owner Services'!I63</f>
        <v>0</v>
      </c>
      <c r="T108" s="133">
        <f>'Property Owner Services'!J63</f>
        <v>0</v>
      </c>
      <c r="U108" s="133">
        <f>'Property Owner Services'!K63</f>
        <v>0</v>
      </c>
      <c r="V108" s="133">
        <f>'Property Owner Services'!L63</f>
        <v>0</v>
      </c>
      <c r="W108" s="133">
        <f>'Property Owner Services'!M63</f>
        <v>0</v>
      </c>
      <c r="X108" s="133">
        <f>'Property Owner Services'!N63</f>
        <v>0</v>
      </c>
      <c r="Y108" s="130">
        <f t="shared" si="14"/>
        <v>0</v>
      </c>
      <c r="Z108" s="113">
        <f t="shared" si="22"/>
        <v>0</v>
      </c>
      <c r="AA108" s="100">
        <f>+'General Fund'!Y108+'Road Fund'!Y108+'Lake Fund'!Y108+'Emergency Fund'!Y108-Y108</f>
        <v>0</v>
      </c>
    </row>
    <row r="109" spans="1:27" x14ac:dyDescent="0.25">
      <c r="A109" s="107"/>
      <c r="B109" s="107"/>
      <c r="C109" s="107"/>
      <c r="D109" s="107"/>
      <c r="E109" s="107"/>
      <c r="F109" s="132" t="s">
        <v>76</v>
      </c>
      <c r="G109" s="107"/>
      <c r="H109" s="118">
        <f>'Property Owner Services'!M28</f>
        <v>0</v>
      </c>
      <c r="I109" s="118">
        <f>'Property Owner Services'!N28</f>
        <v>0</v>
      </c>
      <c r="J109" s="118">
        <f>'Property Owner Services'!O28</f>
        <v>0</v>
      </c>
      <c r="K109" s="118">
        <f>'Property Owner Services'!P28</f>
        <v>0</v>
      </c>
      <c r="L109" s="118">
        <f>'Property Owner Services'!Q28</f>
        <v>0</v>
      </c>
      <c r="M109" s="133">
        <f>'Property Owner Services'!C64</f>
        <v>0</v>
      </c>
      <c r="N109" s="133">
        <f>'Property Owner Services'!D64</f>
        <v>0</v>
      </c>
      <c r="O109" s="133">
        <f>'Property Owner Services'!E64</f>
        <v>0</v>
      </c>
      <c r="P109" s="133">
        <f>'Property Owner Services'!F64</f>
        <v>0</v>
      </c>
      <c r="Q109" s="133">
        <f>'Property Owner Services'!G64</f>
        <v>0</v>
      </c>
      <c r="R109" s="133">
        <f>'Property Owner Services'!H64</f>
        <v>0</v>
      </c>
      <c r="S109" s="133">
        <f>'Property Owner Services'!I64</f>
        <v>0</v>
      </c>
      <c r="T109" s="133">
        <f>'Property Owner Services'!J64</f>
        <v>0</v>
      </c>
      <c r="U109" s="133">
        <f>'Property Owner Services'!K64</f>
        <v>0</v>
      </c>
      <c r="V109" s="133">
        <f>'Property Owner Services'!L64</f>
        <v>0</v>
      </c>
      <c r="W109" s="133">
        <f>'Property Owner Services'!M64</f>
        <v>0</v>
      </c>
      <c r="X109" s="133">
        <f>'Property Owner Services'!N64</f>
        <v>0</v>
      </c>
      <c r="Y109" s="130">
        <f t="shared" si="14"/>
        <v>0</v>
      </c>
      <c r="Z109" s="113">
        <f t="shared" si="22"/>
        <v>0</v>
      </c>
      <c r="AA109" s="100">
        <f>+'General Fund'!Y109+'Road Fund'!Y109+'Lake Fund'!Y109+'Emergency Fund'!Y109-Y109</f>
        <v>0</v>
      </c>
    </row>
    <row r="110" spans="1:27" x14ac:dyDescent="0.25">
      <c r="A110" s="107"/>
      <c r="B110" s="107"/>
      <c r="C110" s="107"/>
      <c r="D110" s="107"/>
      <c r="E110" s="107"/>
      <c r="F110" s="132" t="s">
        <v>77</v>
      </c>
      <c r="G110" s="107"/>
      <c r="H110" s="118">
        <f>'Property Owner Services'!M29</f>
        <v>150</v>
      </c>
      <c r="I110" s="118">
        <f>'Property Owner Services'!N29</f>
        <v>150</v>
      </c>
      <c r="J110" s="118">
        <f>'Property Owner Services'!O29</f>
        <v>150</v>
      </c>
      <c r="K110" s="118">
        <f>'Property Owner Services'!P29</f>
        <v>150</v>
      </c>
      <c r="L110" s="118">
        <f>'Property Owner Services'!Q29</f>
        <v>150</v>
      </c>
      <c r="M110" s="133">
        <f>'Property Owner Services'!C65</f>
        <v>12.5</v>
      </c>
      <c r="N110" s="133">
        <f>'Property Owner Services'!D65</f>
        <v>12.5</v>
      </c>
      <c r="O110" s="133">
        <f>'Property Owner Services'!E65</f>
        <v>12.5</v>
      </c>
      <c r="P110" s="133">
        <f>'Property Owner Services'!F65</f>
        <v>12.5</v>
      </c>
      <c r="Q110" s="133">
        <f>'Property Owner Services'!G65</f>
        <v>12.5</v>
      </c>
      <c r="R110" s="133">
        <f>'Property Owner Services'!H65</f>
        <v>12.5</v>
      </c>
      <c r="S110" s="133">
        <f>'Property Owner Services'!I65</f>
        <v>12.5</v>
      </c>
      <c r="T110" s="133">
        <f>'Property Owner Services'!J65</f>
        <v>12.5</v>
      </c>
      <c r="U110" s="133">
        <f>'Property Owner Services'!K65</f>
        <v>12.5</v>
      </c>
      <c r="V110" s="133">
        <f>'Property Owner Services'!L65</f>
        <v>12.5</v>
      </c>
      <c r="W110" s="133">
        <f>'Property Owner Services'!M65</f>
        <v>12.5</v>
      </c>
      <c r="X110" s="133">
        <f>'Property Owner Services'!N65</f>
        <v>12.5</v>
      </c>
      <c r="Y110" s="130">
        <f t="shared" si="14"/>
        <v>150</v>
      </c>
      <c r="Z110" s="113">
        <f t="shared" si="22"/>
        <v>0</v>
      </c>
      <c r="AA110" s="100">
        <f>+'General Fund'!Y110+'Road Fund'!Y110+'Lake Fund'!Y110+'Emergency Fund'!Y110-Y110</f>
        <v>0</v>
      </c>
    </row>
    <row r="111" spans="1:27" x14ac:dyDescent="0.25">
      <c r="A111" s="107"/>
      <c r="B111" s="107"/>
      <c r="C111" s="107"/>
      <c r="D111" s="107"/>
      <c r="E111" s="107"/>
      <c r="F111" s="132" t="s">
        <v>78</v>
      </c>
      <c r="G111" s="107"/>
      <c r="H111" s="118">
        <f>'Property Owner Services'!M30</f>
        <v>30810</v>
      </c>
      <c r="I111" s="118">
        <f>'Property Owner Services'!N30</f>
        <v>31734.3</v>
      </c>
      <c r="J111" s="118">
        <f>'Property Owner Services'!O30</f>
        <v>32686.329000000002</v>
      </c>
      <c r="K111" s="118">
        <f>'Property Owner Services'!P30</f>
        <v>33666.918870000001</v>
      </c>
      <c r="L111" s="118">
        <f>'Property Owner Services'!Q30</f>
        <v>34676.926436100002</v>
      </c>
      <c r="M111" s="133">
        <f>'Property Owner Services'!C66</f>
        <v>2567.5</v>
      </c>
      <c r="N111" s="133">
        <f>'Property Owner Services'!D66</f>
        <v>2567.5</v>
      </c>
      <c r="O111" s="133">
        <f>'Property Owner Services'!E66</f>
        <v>2567.5</v>
      </c>
      <c r="P111" s="133">
        <f>'Property Owner Services'!F66</f>
        <v>2567.5</v>
      </c>
      <c r="Q111" s="133">
        <f>'Property Owner Services'!G66</f>
        <v>2567.5</v>
      </c>
      <c r="R111" s="133">
        <f>'Property Owner Services'!H66</f>
        <v>2567.5</v>
      </c>
      <c r="S111" s="133">
        <f>'Property Owner Services'!I66</f>
        <v>2567.5</v>
      </c>
      <c r="T111" s="133">
        <f>'Property Owner Services'!J66</f>
        <v>2567.5</v>
      </c>
      <c r="U111" s="133">
        <f>'Property Owner Services'!K66</f>
        <v>2567.5</v>
      </c>
      <c r="V111" s="133">
        <f>'Property Owner Services'!L66</f>
        <v>2567.5</v>
      </c>
      <c r="W111" s="133">
        <f>'Property Owner Services'!M66</f>
        <v>2567.5</v>
      </c>
      <c r="X111" s="133">
        <f>'Property Owner Services'!N66</f>
        <v>2567.5</v>
      </c>
      <c r="Y111" s="130">
        <f t="shared" si="14"/>
        <v>30810</v>
      </c>
      <c r="Z111" s="113">
        <f t="shared" si="22"/>
        <v>0</v>
      </c>
      <c r="AA111" s="100">
        <f>+'General Fund'!Y111+'Road Fund'!Y111+'Lake Fund'!Y111+'Emergency Fund'!Y111-Y111</f>
        <v>0</v>
      </c>
    </row>
    <row r="112" spans="1:27" x14ac:dyDescent="0.25">
      <c r="A112" s="107"/>
      <c r="B112" s="107"/>
      <c r="C112" s="107"/>
      <c r="D112" s="107"/>
      <c r="E112" s="107"/>
      <c r="F112" s="132" t="s">
        <v>79</v>
      </c>
      <c r="G112" s="107"/>
      <c r="H112" s="118">
        <f>'Property Owner Services'!M31</f>
        <v>0</v>
      </c>
      <c r="I112" s="118">
        <f>'Property Owner Services'!N31</f>
        <v>0</v>
      </c>
      <c r="J112" s="118">
        <f>'Property Owner Services'!O31</f>
        <v>0</v>
      </c>
      <c r="K112" s="118">
        <f>'Property Owner Services'!P31</f>
        <v>0</v>
      </c>
      <c r="L112" s="118">
        <f>'Property Owner Services'!Q31</f>
        <v>0</v>
      </c>
      <c r="M112" s="133">
        <f>'Property Owner Services'!C67</f>
        <v>0</v>
      </c>
      <c r="N112" s="133">
        <f>'Property Owner Services'!D67</f>
        <v>0</v>
      </c>
      <c r="O112" s="133">
        <f>'Property Owner Services'!E67</f>
        <v>0</v>
      </c>
      <c r="P112" s="133">
        <f>'Property Owner Services'!F67</f>
        <v>0</v>
      </c>
      <c r="Q112" s="133">
        <f>'Property Owner Services'!G67</f>
        <v>0</v>
      </c>
      <c r="R112" s="133">
        <f>'Property Owner Services'!H67</f>
        <v>0</v>
      </c>
      <c r="S112" s="133">
        <f>'Property Owner Services'!I67</f>
        <v>0</v>
      </c>
      <c r="T112" s="133">
        <f>'Property Owner Services'!J67</f>
        <v>0</v>
      </c>
      <c r="U112" s="133">
        <f>'Property Owner Services'!K67</f>
        <v>0</v>
      </c>
      <c r="V112" s="133">
        <f>'Property Owner Services'!L67</f>
        <v>0</v>
      </c>
      <c r="W112" s="133">
        <f>'Property Owner Services'!M67</f>
        <v>0</v>
      </c>
      <c r="X112" s="133">
        <f>'Property Owner Services'!N67</f>
        <v>0</v>
      </c>
      <c r="Y112" s="130">
        <f t="shared" si="14"/>
        <v>0</v>
      </c>
      <c r="Z112" s="113">
        <f t="shared" si="22"/>
        <v>0</v>
      </c>
      <c r="AA112" s="100">
        <f>+'General Fund'!Y112+'Road Fund'!Y112+'Lake Fund'!Y112+'Emergency Fund'!Y112-Y112</f>
        <v>0</v>
      </c>
    </row>
    <row r="113" spans="1:27" x14ac:dyDescent="0.25">
      <c r="A113" s="107"/>
      <c r="B113" s="107"/>
      <c r="C113" s="107"/>
      <c r="D113" s="107"/>
      <c r="E113" s="107"/>
      <c r="F113" s="132" t="s">
        <v>80</v>
      </c>
      <c r="G113" s="107"/>
      <c r="H113" s="118">
        <f>'Property Owner Services'!M32</f>
        <v>15600</v>
      </c>
      <c r="I113" s="118">
        <f>'Property Owner Services'!N32</f>
        <v>16068</v>
      </c>
      <c r="J113" s="118">
        <f>'Property Owner Services'!O32</f>
        <v>16550.04</v>
      </c>
      <c r="K113" s="118">
        <f>'Property Owner Services'!P32</f>
        <v>17046.5412</v>
      </c>
      <c r="L113" s="118">
        <f>'Property Owner Services'!Q32</f>
        <v>17557.937436</v>
      </c>
      <c r="M113" s="133">
        <f>'Property Owner Services'!C68</f>
        <v>1300</v>
      </c>
      <c r="N113" s="133">
        <f>'Property Owner Services'!D68</f>
        <v>1300</v>
      </c>
      <c r="O113" s="133">
        <f>'Property Owner Services'!E68</f>
        <v>1300</v>
      </c>
      <c r="P113" s="133">
        <f>'Property Owner Services'!F68</f>
        <v>1300</v>
      </c>
      <c r="Q113" s="133">
        <f>'Property Owner Services'!G68</f>
        <v>1300</v>
      </c>
      <c r="R113" s="133">
        <f>'Property Owner Services'!H68</f>
        <v>1300</v>
      </c>
      <c r="S113" s="133">
        <f>'Property Owner Services'!I68</f>
        <v>1300</v>
      </c>
      <c r="T113" s="133">
        <f>'Property Owner Services'!J68</f>
        <v>1300</v>
      </c>
      <c r="U113" s="133">
        <f>'Property Owner Services'!K68</f>
        <v>1300</v>
      </c>
      <c r="V113" s="133">
        <f>'Property Owner Services'!L68</f>
        <v>1300</v>
      </c>
      <c r="W113" s="133">
        <f>'Property Owner Services'!M68</f>
        <v>1300</v>
      </c>
      <c r="X113" s="133">
        <f>'Property Owner Services'!N68</f>
        <v>1300</v>
      </c>
      <c r="Y113" s="130">
        <f t="shared" si="14"/>
        <v>15600</v>
      </c>
      <c r="Z113" s="113">
        <f t="shared" si="22"/>
        <v>0</v>
      </c>
      <c r="AA113" s="100">
        <f>+'General Fund'!Y113+'Road Fund'!Y113+'Lake Fund'!Y113+'Emergency Fund'!Y113-Y113</f>
        <v>0</v>
      </c>
    </row>
    <row r="114" spans="1:27" x14ac:dyDescent="0.25">
      <c r="A114" s="107"/>
      <c r="B114" s="107"/>
      <c r="C114" s="107"/>
      <c r="D114" s="107"/>
      <c r="E114" s="107"/>
      <c r="F114" s="132" t="s">
        <v>81</v>
      </c>
      <c r="G114" s="107"/>
      <c r="H114" s="118">
        <f>'Property Owner Services'!M33</f>
        <v>1260</v>
      </c>
      <c r="I114" s="118">
        <f>'Property Owner Services'!N33</f>
        <v>1278.8999999999999</v>
      </c>
      <c r="J114" s="118">
        <f>'Property Owner Services'!O33</f>
        <v>1298.0834999999997</v>
      </c>
      <c r="K114" s="118">
        <f>'Property Owner Services'!P33</f>
        <v>1317.5547524999995</v>
      </c>
      <c r="L114" s="118">
        <f>'Property Owner Services'!Q33</f>
        <v>1337.3180737874993</v>
      </c>
      <c r="M114" s="133">
        <f>'Property Owner Services'!C69</f>
        <v>105</v>
      </c>
      <c r="N114" s="133">
        <f>'Property Owner Services'!D69</f>
        <v>105</v>
      </c>
      <c r="O114" s="133">
        <f>'Property Owner Services'!E69</f>
        <v>105</v>
      </c>
      <c r="P114" s="133">
        <f>'Property Owner Services'!F69</f>
        <v>105</v>
      </c>
      <c r="Q114" s="133">
        <f>'Property Owner Services'!G69</f>
        <v>105</v>
      </c>
      <c r="R114" s="133">
        <f>'Property Owner Services'!H69</f>
        <v>105</v>
      </c>
      <c r="S114" s="133">
        <f>'Property Owner Services'!I69</f>
        <v>105</v>
      </c>
      <c r="T114" s="133">
        <f>'Property Owner Services'!J69</f>
        <v>105</v>
      </c>
      <c r="U114" s="133">
        <f>'Property Owner Services'!K69</f>
        <v>105</v>
      </c>
      <c r="V114" s="133">
        <f>'Property Owner Services'!L69</f>
        <v>105</v>
      </c>
      <c r="W114" s="133">
        <f>'Property Owner Services'!M69</f>
        <v>105</v>
      </c>
      <c r="X114" s="133">
        <f>'Property Owner Services'!N69</f>
        <v>105</v>
      </c>
      <c r="Y114" s="130">
        <f t="shared" si="14"/>
        <v>1260</v>
      </c>
      <c r="Z114" s="113">
        <f t="shared" si="22"/>
        <v>0</v>
      </c>
      <c r="AA114" s="100">
        <f>+'General Fund'!Y114+'Road Fund'!Y114+'Lake Fund'!Y114+'Emergency Fund'!Y114-Y114</f>
        <v>0</v>
      </c>
    </row>
    <row r="115" spans="1:27" ht="15.75" thickBot="1" x14ac:dyDescent="0.3">
      <c r="A115" s="107"/>
      <c r="B115" s="107"/>
      <c r="C115" s="107"/>
      <c r="D115" s="107"/>
      <c r="E115" s="107"/>
      <c r="F115" s="132" t="s">
        <v>82</v>
      </c>
      <c r="G115" s="107"/>
      <c r="H115" s="134">
        <f>'Property Owner Services'!M34</f>
        <v>0</v>
      </c>
      <c r="I115" s="134">
        <f>'Property Owner Services'!N34</f>
        <v>0</v>
      </c>
      <c r="J115" s="134">
        <f>'Property Owner Services'!O34</f>
        <v>0</v>
      </c>
      <c r="K115" s="134">
        <f>'Property Owner Services'!P34</f>
        <v>0</v>
      </c>
      <c r="L115" s="134">
        <f>'Property Owner Services'!Q34</f>
        <v>0</v>
      </c>
      <c r="M115" s="134">
        <f>'Property Owner Services'!C70</f>
        <v>0</v>
      </c>
      <c r="N115" s="134">
        <f>'Property Owner Services'!D70</f>
        <v>0</v>
      </c>
      <c r="O115" s="134">
        <f>'Property Owner Services'!E70</f>
        <v>0</v>
      </c>
      <c r="P115" s="134">
        <f>'Property Owner Services'!F70</f>
        <v>0</v>
      </c>
      <c r="Q115" s="134">
        <f>'Property Owner Services'!G70</f>
        <v>0</v>
      </c>
      <c r="R115" s="134">
        <f>'Property Owner Services'!H70</f>
        <v>0</v>
      </c>
      <c r="S115" s="134">
        <f>'Property Owner Services'!I70</f>
        <v>0</v>
      </c>
      <c r="T115" s="134">
        <f>'Property Owner Services'!J70</f>
        <v>0</v>
      </c>
      <c r="U115" s="134">
        <f>'Property Owner Services'!K70</f>
        <v>0</v>
      </c>
      <c r="V115" s="134">
        <f>'Property Owner Services'!L70</f>
        <v>0</v>
      </c>
      <c r="W115" s="134">
        <f>'Property Owner Services'!M70</f>
        <v>0</v>
      </c>
      <c r="X115" s="134">
        <f>'Property Owner Services'!N70</f>
        <v>0</v>
      </c>
      <c r="Y115" s="135">
        <f t="shared" si="14"/>
        <v>0</v>
      </c>
      <c r="Z115" s="113">
        <f t="shared" si="22"/>
        <v>0</v>
      </c>
      <c r="AA115" s="100">
        <f>+'General Fund'!Y115+'Road Fund'!Y115+'Lake Fund'!Y115+'Emergency Fund'!Y115-Y115</f>
        <v>0</v>
      </c>
    </row>
    <row r="116" spans="1:27" x14ac:dyDescent="0.25">
      <c r="A116" s="107"/>
      <c r="B116" s="107"/>
      <c r="C116" s="107"/>
      <c r="D116" s="107"/>
      <c r="E116" s="107" t="s">
        <v>83</v>
      </c>
      <c r="F116" s="107"/>
      <c r="G116" s="107"/>
      <c r="H116" s="118">
        <f>ROUND(SUM(H85:H115),5)</f>
        <v>99162.323250000001</v>
      </c>
      <c r="I116" s="118">
        <f t="shared" ref="I116:L116" si="23">ROUND(SUM(I85:I115),5)</f>
        <v>100671.51694</v>
      </c>
      <c r="J116" s="118">
        <f t="shared" si="23"/>
        <v>103087.35051</v>
      </c>
      <c r="K116" s="118">
        <f t="shared" si="23"/>
        <v>105491.03092</v>
      </c>
      <c r="L116" s="118">
        <f t="shared" si="23"/>
        <v>108025.18085999999</v>
      </c>
      <c r="M116" s="118">
        <f t="shared" ref="M116:Y116" si="24">ROUND(SUM(M85:M115),5)</f>
        <v>8263.5269399999997</v>
      </c>
      <c r="N116" s="118">
        <f t="shared" si="24"/>
        <v>8263.5269399999997</v>
      </c>
      <c r="O116" s="118">
        <f t="shared" si="24"/>
        <v>8263.5269399999997</v>
      </c>
      <c r="P116" s="118">
        <f t="shared" si="24"/>
        <v>8263.5269399999997</v>
      </c>
      <c r="Q116" s="118">
        <f t="shared" si="24"/>
        <v>8263.5269399999997</v>
      </c>
      <c r="R116" s="118">
        <f t="shared" si="24"/>
        <v>8263.5269399999997</v>
      </c>
      <c r="S116" s="118">
        <f t="shared" si="24"/>
        <v>8263.5269399999997</v>
      </c>
      <c r="T116" s="118">
        <f t="shared" si="24"/>
        <v>8263.5269399999997</v>
      </c>
      <c r="U116" s="118">
        <f t="shared" si="24"/>
        <v>8263.5269399999997</v>
      </c>
      <c r="V116" s="118">
        <f t="shared" si="24"/>
        <v>8263.5269399999997</v>
      </c>
      <c r="W116" s="118">
        <f t="shared" si="24"/>
        <v>8263.5269399999997</v>
      </c>
      <c r="X116" s="118">
        <f t="shared" si="24"/>
        <v>8263.5269399999997</v>
      </c>
      <c r="Y116" s="118">
        <f t="shared" si="24"/>
        <v>99162.323250000001</v>
      </c>
      <c r="Z116" s="113">
        <f t="shared" si="22"/>
        <v>0</v>
      </c>
      <c r="AA116" s="100">
        <f>+'General Fund'!Y116+'Road Fund'!Y116+'Lake Fund'!Y116+'Emergency Fund'!Y116-Y116</f>
        <v>0</v>
      </c>
    </row>
    <row r="117" spans="1:27" x14ac:dyDescent="0.25">
      <c r="A117" s="107"/>
      <c r="B117" s="107"/>
      <c r="C117" s="107"/>
      <c r="D117" s="107"/>
      <c r="E117" s="107" t="s">
        <v>84</v>
      </c>
      <c r="F117" s="107"/>
      <c r="G117" s="107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30"/>
    </row>
    <row r="118" spans="1:27" x14ac:dyDescent="0.25">
      <c r="A118" s="107"/>
      <c r="B118" s="107"/>
      <c r="C118" s="107"/>
      <c r="D118" s="107"/>
      <c r="E118" s="107"/>
      <c r="F118" s="132" t="s">
        <v>85</v>
      </c>
      <c r="G118" s="107"/>
      <c r="H118" s="118">
        <f>'Roads &amp; Mowing (2)'!M4</f>
        <v>0</v>
      </c>
      <c r="I118" s="118">
        <f>'Roads &amp; Mowing (2)'!N4</f>
        <v>0</v>
      </c>
      <c r="J118" s="118">
        <f>'Roads &amp; Mowing (2)'!O4</f>
        <v>0</v>
      </c>
      <c r="K118" s="118">
        <f>'Roads &amp; Mowing (2)'!P4</f>
        <v>0</v>
      </c>
      <c r="L118" s="118">
        <f>'Roads &amp; Mowing (2)'!Q4</f>
        <v>0</v>
      </c>
      <c r="M118" s="118">
        <f>'Roads &amp; Mowing (2)'!C30</f>
        <v>0</v>
      </c>
      <c r="N118" s="118">
        <f>'Roads &amp; Mowing (2)'!D30</f>
        <v>0</v>
      </c>
      <c r="O118" s="118">
        <f>'Roads &amp; Mowing (2)'!E30</f>
        <v>0</v>
      </c>
      <c r="P118" s="118">
        <f>'Roads &amp; Mowing (2)'!F30</f>
        <v>0</v>
      </c>
      <c r="Q118" s="118">
        <f>'Roads &amp; Mowing (2)'!G30</f>
        <v>0</v>
      </c>
      <c r="R118" s="118">
        <f>'Roads &amp; Mowing (2)'!H30</f>
        <v>0</v>
      </c>
      <c r="S118" s="118">
        <f>'Roads &amp; Mowing (2)'!I30</f>
        <v>0</v>
      </c>
      <c r="T118" s="118">
        <f>'Roads &amp; Mowing (2)'!J30</f>
        <v>0</v>
      </c>
      <c r="U118" s="118">
        <f>'Roads &amp; Mowing (2)'!K30</f>
        <v>0</v>
      </c>
      <c r="V118" s="118">
        <f>'Roads &amp; Mowing (2)'!L30</f>
        <v>0</v>
      </c>
      <c r="W118" s="118">
        <f>'Roads &amp; Mowing (2)'!M30</f>
        <v>0</v>
      </c>
      <c r="X118" s="118">
        <f>'Roads &amp; Mowing (2)'!N30</f>
        <v>0</v>
      </c>
      <c r="Y118" s="130">
        <f t="shared" si="14"/>
        <v>0</v>
      </c>
      <c r="Z118" s="113">
        <f t="shared" ref="Z118:Z157" si="25">ROUND(Y118-H118,0)</f>
        <v>0</v>
      </c>
    </row>
    <row r="119" spans="1:27" x14ac:dyDescent="0.25">
      <c r="A119" s="107"/>
      <c r="B119" s="107"/>
      <c r="C119" s="107"/>
      <c r="D119" s="107"/>
      <c r="E119" s="107"/>
      <c r="F119" s="132" t="s">
        <v>86</v>
      </c>
      <c r="G119" s="107"/>
      <c r="H119" s="118">
        <f>'Roads &amp; Mowing (2)'!M5+'Master Input Tab'!$B$47</f>
        <v>75000</v>
      </c>
      <c r="I119" s="118">
        <f>'Roads &amp; Mowing (2)'!N5+'Master Input Tab'!$B$47</f>
        <v>75000</v>
      </c>
      <c r="J119" s="118">
        <f>'Roads &amp; Mowing (2)'!O5+'Master Input Tab'!$B$47</f>
        <v>50000</v>
      </c>
      <c r="K119" s="118">
        <f>'Roads &amp; Mowing (2)'!P5+'Master Input Tab'!$B$47</f>
        <v>50000</v>
      </c>
      <c r="L119" s="118">
        <f>'Roads &amp; Mowing (2)'!Q5+'Master Input Tab'!$B$47</f>
        <v>50000</v>
      </c>
      <c r="M119" s="118">
        <f>'Roads &amp; Mowing (2)'!C31+'General Fund'!M119</f>
        <v>0</v>
      </c>
      <c r="N119" s="118">
        <f>'Roads &amp; Mowing (2)'!D31+'General Fund'!N119</f>
        <v>0</v>
      </c>
      <c r="O119" s="118">
        <f>'Roads &amp; Mowing (2)'!E31+'General Fund'!O119</f>
        <v>0</v>
      </c>
      <c r="P119" s="118">
        <f>'Roads &amp; Mowing (2)'!F31+'General Fund'!P119</f>
        <v>0</v>
      </c>
      <c r="Q119" s="118">
        <f>'Roads &amp; Mowing (2)'!G31+'General Fund'!Q119</f>
        <v>0</v>
      </c>
      <c r="R119" s="118">
        <f>'Roads &amp; Mowing (2)'!H31+'General Fund'!R119</f>
        <v>25000</v>
      </c>
      <c r="S119" s="118">
        <f>'Roads &amp; Mowing (2)'!I31+'General Fund'!S119</f>
        <v>25000</v>
      </c>
      <c r="T119" s="118">
        <f>'Roads &amp; Mowing (2)'!J31+'General Fund'!T119</f>
        <v>25000</v>
      </c>
      <c r="U119" s="118">
        <f>'Roads &amp; Mowing (2)'!K31+'General Fund'!U119</f>
        <v>0</v>
      </c>
      <c r="V119" s="118">
        <f>'Roads &amp; Mowing (2)'!L31+'General Fund'!V119</f>
        <v>0</v>
      </c>
      <c r="W119" s="118">
        <f>'Roads &amp; Mowing (2)'!M31+'General Fund'!W119</f>
        <v>0</v>
      </c>
      <c r="X119" s="118">
        <f>'Roads &amp; Mowing (2)'!N31+'General Fund'!X119</f>
        <v>0</v>
      </c>
      <c r="Y119" s="130">
        <f t="shared" si="14"/>
        <v>75000</v>
      </c>
      <c r="Z119" s="113">
        <f t="shared" si="25"/>
        <v>0</v>
      </c>
      <c r="AA119" s="100">
        <f>+'General Fund'!Y119+'Road Fund'!Y119+'Lake Fund'!Y119+'Emergency Fund'!Y119-Y119</f>
        <v>0</v>
      </c>
    </row>
    <row r="120" spans="1:27" x14ac:dyDescent="0.25">
      <c r="A120" s="107"/>
      <c r="B120" s="107"/>
      <c r="C120" s="107"/>
      <c r="D120" s="107"/>
      <c r="E120" s="107"/>
      <c r="F120" s="132" t="s">
        <v>87</v>
      </c>
      <c r="G120" s="107"/>
      <c r="H120" s="118">
        <f>'Roads &amp; Mowing (2)'!M6</f>
        <v>0</v>
      </c>
      <c r="I120" s="118">
        <f>'Roads &amp; Mowing (2)'!N6</f>
        <v>0</v>
      </c>
      <c r="J120" s="118">
        <f>'Roads &amp; Mowing (2)'!O6</f>
        <v>0</v>
      </c>
      <c r="K120" s="118">
        <f>'Roads &amp; Mowing (2)'!P6</f>
        <v>0</v>
      </c>
      <c r="L120" s="118">
        <f>'Roads &amp; Mowing (2)'!Q6</f>
        <v>0</v>
      </c>
      <c r="M120" s="118">
        <f>'Roads &amp; Mowing (2)'!C32</f>
        <v>0</v>
      </c>
      <c r="N120" s="118">
        <f>'Roads &amp; Mowing (2)'!D32</f>
        <v>0</v>
      </c>
      <c r="O120" s="118">
        <f>'Roads &amp; Mowing (2)'!E32</f>
        <v>0</v>
      </c>
      <c r="P120" s="118">
        <f>'Roads &amp; Mowing (2)'!F32</f>
        <v>0</v>
      </c>
      <c r="Q120" s="118">
        <f>'Roads &amp; Mowing (2)'!G32</f>
        <v>0</v>
      </c>
      <c r="R120" s="118">
        <f>'Roads &amp; Mowing (2)'!H32</f>
        <v>0</v>
      </c>
      <c r="S120" s="118">
        <f>'Roads &amp; Mowing (2)'!I32</f>
        <v>0</v>
      </c>
      <c r="T120" s="118">
        <f>'Roads &amp; Mowing (2)'!J32</f>
        <v>0</v>
      </c>
      <c r="U120" s="118">
        <f>'Roads &amp; Mowing (2)'!K32</f>
        <v>0</v>
      </c>
      <c r="V120" s="118">
        <f>'Roads &amp; Mowing (2)'!L32</f>
        <v>0</v>
      </c>
      <c r="W120" s="118">
        <f>'Roads &amp; Mowing (2)'!M32</f>
        <v>0</v>
      </c>
      <c r="X120" s="118">
        <f>'Roads &amp; Mowing (2)'!N32</f>
        <v>0</v>
      </c>
      <c r="Y120" s="130">
        <f t="shared" si="14"/>
        <v>0</v>
      </c>
      <c r="Z120" s="113">
        <f t="shared" si="25"/>
        <v>0</v>
      </c>
      <c r="AA120" s="100">
        <f>+'General Fund'!Y120+'Road Fund'!Y120+'Lake Fund'!Y120+'Emergency Fund'!Y120-Y120</f>
        <v>0</v>
      </c>
    </row>
    <row r="121" spans="1:27" x14ac:dyDescent="0.25">
      <c r="A121" s="107"/>
      <c r="B121" s="107"/>
      <c r="C121" s="107"/>
      <c r="D121" s="107"/>
      <c r="E121" s="107"/>
      <c r="F121" s="132" t="s">
        <v>88</v>
      </c>
      <c r="G121" s="107"/>
      <c r="H121" s="118">
        <f>'Roads &amp; Mowing (2)'!M7</f>
        <v>0</v>
      </c>
      <c r="I121" s="118">
        <f>'Roads &amp; Mowing (2)'!N7</f>
        <v>14000</v>
      </c>
      <c r="J121" s="118">
        <f>'Roads &amp; Mowing (2)'!O7</f>
        <v>0</v>
      </c>
      <c r="K121" s="118">
        <f>'Roads &amp; Mowing (2)'!P7</f>
        <v>0</v>
      </c>
      <c r="L121" s="118">
        <f>'Roads &amp; Mowing (2)'!Q7</f>
        <v>0</v>
      </c>
      <c r="M121" s="118">
        <f>'Roads &amp; Mowing (2)'!C33</f>
        <v>0</v>
      </c>
      <c r="N121" s="118">
        <f>'Roads &amp; Mowing (2)'!D33</f>
        <v>0</v>
      </c>
      <c r="O121" s="118">
        <f>'Roads &amp; Mowing (2)'!E33</f>
        <v>0</v>
      </c>
      <c r="P121" s="118">
        <f>'Roads &amp; Mowing (2)'!F33</f>
        <v>0</v>
      </c>
      <c r="Q121" s="118">
        <f>'Roads &amp; Mowing (2)'!G33</f>
        <v>0</v>
      </c>
      <c r="R121" s="118">
        <f>'Roads &amp; Mowing (2)'!H33</f>
        <v>0</v>
      </c>
      <c r="S121" s="118">
        <f>'Roads &amp; Mowing (2)'!I33</f>
        <v>0</v>
      </c>
      <c r="T121" s="118">
        <f>'Roads &amp; Mowing (2)'!J33</f>
        <v>0</v>
      </c>
      <c r="U121" s="118">
        <f>'Roads &amp; Mowing (2)'!K33</f>
        <v>0</v>
      </c>
      <c r="V121" s="118">
        <f>'Roads &amp; Mowing (2)'!L33</f>
        <v>0</v>
      </c>
      <c r="W121" s="118">
        <f>'Roads &amp; Mowing (2)'!M33</f>
        <v>0</v>
      </c>
      <c r="X121" s="118">
        <f>'Roads &amp; Mowing (2)'!N33</f>
        <v>0</v>
      </c>
      <c r="Y121" s="130">
        <f t="shared" si="14"/>
        <v>0</v>
      </c>
      <c r="Z121" s="113">
        <f t="shared" si="25"/>
        <v>0</v>
      </c>
      <c r="AA121" s="100">
        <f>+'General Fund'!Y121+'Road Fund'!Y121+'Lake Fund'!Y121+'Emergency Fund'!Y121-Y121</f>
        <v>0</v>
      </c>
    </row>
    <row r="122" spans="1:27" x14ac:dyDescent="0.25">
      <c r="A122" s="107"/>
      <c r="B122" s="107"/>
      <c r="C122" s="107"/>
      <c r="D122" s="107"/>
      <c r="E122" s="107"/>
      <c r="F122" s="132" t="s">
        <v>89</v>
      </c>
      <c r="G122" s="107"/>
      <c r="H122" s="118">
        <f>'Roads &amp; Mowing (2)'!M8</f>
        <v>6500</v>
      </c>
      <c r="I122" s="118">
        <f>'Roads &amp; Mowing (2)'!N8</f>
        <v>6597.4999999999991</v>
      </c>
      <c r="J122" s="118">
        <f>'Roads &amp; Mowing (2)'!O8</f>
        <v>6696.4624999999987</v>
      </c>
      <c r="K122" s="118">
        <f>'Roads &amp; Mowing (2)'!P8</f>
        <v>6796.9094374999977</v>
      </c>
      <c r="L122" s="118">
        <f>'Roads &amp; Mowing (2)'!Q8</f>
        <v>6898.8630790624966</v>
      </c>
      <c r="M122" s="118">
        <f>'Roads &amp; Mowing (2)'!C34</f>
        <v>541.66666666666663</v>
      </c>
      <c r="N122" s="118">
        <f>'Roads &amp; Mowing (2)'!D34</f>
        <v>541.66666666666663</v>
      </c>
      <c r="O122" s="118">
        <f>'Roads &amp; Mowing (2)'!E34</f>
        <v>541.66666666666663</v>
      </c>
      <c r="P122" s="118">
        <f>'Roads &amp; Mowing (2)'!F34</f>
        <v>541.66666666666663</v>
      </c>
      <c r="Q122" s="118">
        <f>'Roads &amp; Mowing (2)'!G34</f>
        <v>541.66666666666663</v>
      </c>
      <c r="R122" s="118">
        <f>'Roads &amp; Mowing (2)'!H34</f>
        <v>541.66666666666663</v>
      </c>
      <c r="S122" s="118">
        <f>'Roads &amp; Mowing (2)'!I34</f>
        <v>541.66666666666663</v>
      </c>
      <c r="T122" s="118">
        <f>'Roads &amp; Mowing (2)'!J34</f>
        <v>541.66666666666663</v>
      </c>
      <c r="U122" s="118">
        <f>'Roads &amp; Mowing (2)'!K34</f>
        <v>541.66666666666663</v>
      </c>
      <c r="V122" s="118">
        <f>'Roads &amp; Mowing (2)'!L34</f>
        <v>541.66666666666663</v>
      </c>
      <c r="W122" s="118">
        <f>'Roads &amp; Mowing (2)'!M34</f>
        <v>541.66666666666663</v>
      </c>
      <c r="X122" s="118">
        <f>'Roads &amp; Mowing (2)'!N34</f>
        <v>541.66666666666663</v>
      </c>
      <c r="Y122" s="130">
        <f t="shared" si="14"/>
        <v>6500.0000000000009</v>
      </c>
      <c r="Z122" s="113">
        <f t="shared" si="25"/>
        <v>0</v>
      </c>
      <c r="AA122" s="100">
        <f>+'General Fund'!Y122+'Road Fund'!Y122+'Lake Fund'!Y122+'Emergency Fund'!Y122-Y122</f>
        <v>0</v>
      </c>
    </row>
    <row r="123" spans="1:27" x14ac:dyDescent="0.25">
      <c r="A123" s="107"/>
      <c r="B123" s="107"/>
      <c r="C123" s="107"/>
      <c r="D123" s="107"/>
      <c r="E123" s="107"/>
      <c r="F123" s="132" t="s">
        <v>90</v>
      </c>
      <c r="G123" s="107"/>
      <c r="H123" s="118">
        <f>'Roads &amp; Mowing (2)'!M9</f>
        <v>0</v>
      </c>
      <c r="I123" s="118">
        <f>'Roads &amp; Mowing (2)'!N9</f>
        <v>0</v>
      </c>
      <c r="J123" s="118">
        <f>'Roads &amp; Mowing (2)'!O9</f>
        <v>0</v>
      </c>
      <c r="K123" s="118">
        <f>'Roads &amp; Mowing (2)'!P9</f>
        <v>0</v>
      </c>
      <c r="L123" s="118">
        <f>'Roads &amp; Mowing (2)'!Q9</f>
        <v>0</v>
      </c>
      <c r="M123" s="118">
        <f>'Roads &amp; Mowing (2)'!C35</f>
        <v>0</v>
      </c>
      <c r="N123" s="118">
        <f>'Roads &amp; Mowing (2)'!D35</f>
        <v>0</v>
      </c>
      <c r="O123" s="118">
        <f>'Roads &amp; Mowing (2)'!E35</f>
        <v>0</v>
      </c>
      <c r="P123" s="118">
        <f>'Roads &amp; Mowing (2)'!F35</f>
        <v>0</v>
      </c>
      <c r="Q123" s="118">
        <f>'Roads &amp; Mowing (2)'!G35</f>
        <v>0</v>
      </c>
      <c r="R123" s="118">
        <f>'Roads &amp; Mowing (2)'!H35</f>
        <v>0</v>
      </c>
      <c r="S123" s="118">
        <f>'Roads &amp; Mowing (2)'!I35</f>
        <v>0</v>
      </c>
      <c r="T123" s="118">
        <f>'Roads &amp; Mowing (2)'!J35</f>
        <v>0</v>
      </c>
      <c r="U123" s="118">
        <f>'Roads &amp; Mowing (2)'!K35</f>
        <v>0</v>
      </c>
      <c r="V123" s="118">
        <f>'Roads &amp; Mowing (2)'!L35</f>
        <v>0</v>
      </c>
      <c r="W123" s="118">
        <f>'Roads &amp; Mowing (2)'!M35</f>
        <v>0</v>
      </c>
      <c r="X123" s="118">
        <f>'Roads &amp; Mowing (2)'!N35</f>
        <v>0</v>
      </c>
      <c r="Y123" s="130">
        <f t="shared" si="14"/>
        <v>0</v>
      </c>
      <c r="Z123" s="113">
        <f t="shared" si="25"/>
        <v>0</v>
      </c>
      <c r="AA123" s="100">
        <f>+'General Fund'!Y123+'Road Fund'!Y123+'Lake Fund'!Y123+'Emergency Fund'!Y123-Y123</f>
        <v>0</v>
      </c>
    </row>
    <row r="124" spans="1:27" x14ac:dyDescent="0.25">
      <c r="A124" s="107"/>
      <c r="B124" s="107"/>
      <c r="C124" s="107"/>
      <c r="D124" s="107"/>
      <c r="E124" s="107"/>
      <c r="F124" s="132" t="s">
        <v>91</v>
      </c>
      <c r="G124" s="107"/>
      <c r="H124" s="118">
        <f>'Roads &amp; Mowing (2)'!M10</f>
        <v>4500</v>
      </c>
      <c r="I124" s="118">
        <f>'Roads &amp; Mowing (2)'!N10</f>
        <v>4567.5</v>
      </c>
      <c r="J124" s="118">
        <f>'Roads &amp; Mowing (2)'!O10</f>
        <v>4636.0124999999998</v>
      </c>
      <c r="K124" s="118">
        <f>'Roads &amp; Mowing (2)'!P10</f>
        <v>4705.5526874999996</v>
      </c>
      <c r="L124" s="118">
        <f>'Roads &amp; Mowing (2)'!Q10</f>
        <v>4776.1359778124988</v>
      </c>
      <c r="M124" s="118">
        <f>'Roads &amp; Mowing (2)'!C36</f>
        <v>375</v>
      </c>
      <c r="N124" s="118">
        <f>'Roads &amp; Mowing (2)'!D36</f>
        <v>375</v>
      </c>
      <c r="O124" s="118">
        <f>'Roads &amp; Mowing (2)'!E36</f>
        <v>375</v>
      </c>
      <c r="P124" s="118">
        <f>'Roads &amp; Mowing (2)'!F36</f>
        <v>375</v>
      </c>
      <c r="Q124" s="118">
        <f>'Roads &amp; Mowing (2)'!G36</f>
        <v>375</v>
      </c>
      <c r="R124" s="118">
        <f>'Roads &amp; Mowing (2)'!H36</f>
        <v>375</v>
      </c>
      <c r="S124" s="118">
        <f>'Roads &amp; Mowing (2)'!I36</f>
        <v>375</v>
      </c>
      <c r="T124" s="118">
        <f>'Roads &amp; Mowing (2)'!J36</f>
        <v>375</v>
      </c>
      <c r="U124" s="118">
        <f>'Roads &amp; Mowing (2)'!K36</f>
        <v>375</v>
      </c>
      <c r="V124" s="118">
        <f>'Roads &amp; Mowing (2)'!L36</f>
        <v>375</v>
      </c>
      <c r="W124" s="118">
        <f>'Roads &amp; Mowing (2)'!M36</f>
        <v>375</v>
      </c>
      <c r="X124" s="118">
        <f>'Roads &amp; Mowing (2)'!N36</f>
        <v>375</v>
      </c>
      <c r="Y124" s="130">
        <f t="shared" si="14"/>
        <v>4500</v>
      </c>
      <c r="Z124" s="113">
        <f t="shared" si="25"/>
        <v>0</v>
      </c>
      <c r="AA124" s="100">
        <f>+'General Fund'!Y124+'Road Fund'!Y124+'Lake Fund'!Y124+'Emergency Fund'!Y124-Y124</f>
        <v>0</v>
      </c>
    </row>
    <row r="125" spans="1:27" x14ac:dyDescent="0.25">
      <c r="A125" s="107"/>
      <c r="B125" s="107"/>
      <c r="C125" s="107"/>
      <c r="D125" s="107"/>
      <c r="E125" s="107"/>
      <c r="F125" s="132" t="s">
        <v>92</v>
      </c>
      <c r="G125" s="107"/>
      <c r="H125" s="118">
        <f>'Roads &amp; Mowing (2)'!M11</f>
        <v>1500</v>
      </c>
      <c r="I125" s="118">
        <f>'Roads &amp; Mowing (2)'!N11</f>
        <v>1522.4999999999998</v>
      </c>
      <c r="J125" s="118">
        <f>'Roads &amp; Mowing (2)'!O11</f>
        <v>1545.3374999999996</v>
      </c>
      <c r="K125" s="118">
        <f>'Roads &amp; Mowing (2)'!P11</f>
        <v>1568.5175624999995</v>
      </c>
      <c r="L125" s="118">
        <f>'Roads &amp; Mowing (2)'!Q11</f>
        <v>1592.0453259374992</v>
      </c>
      <c r="M125" s="118">
        <f>'Roads &amp; Mowing (2)'!C37</f>
        <v>125</v>
      </c>
      <c r="N125" s="118">
        <f>'Roads &amp; Mowing (2)'!D37</f>
        <v>125</v>
      </c>
      <c r="O125" s="118">
        <f>'Roads &amp; Mowing (2)'!E37</f>
        <v>125</v>
      </c>
      <c r="P125" s="118">
        <f>'Roads &amp; Mowing (2)'!F37</f>
        <v>125</v>
      </c>
      <c r="Q125" s="118">
        <f>'Roads &amp; Mowing (2)'!G37</f>
        <v>125</v>
      </c>
      <c r="R125" s="118">
        <f>'Roads &amp; Mowing (2)'!H37</f>
        <v>125</v>
      </c>
      <c r="S125" s="118">
        <f>'Roads &amp; Mowing (2)'!I37</f>
        <v>125</v>
      </c>
      <c r="T125" s="118">
        <f>'Roads &amp; Mowing (2)'!J37</f>
        <v>125</v>
      </c>
      <c r="U125" s="118">
        <f>'Roads &amp; Mowing (2)'!K37</f>
        <v>125</v>
      </c>
      <c r="V125" s="118">
        <f>'Roads &amp; Mowing (2)'!L37</f>
        <v>125</v>
      </c>
      <c r="W125" s="118">
        <f>'Roads &amp; Mowing (2)'!M37</f>
        <v>125</v>
      </c>
      <c r="X125" s="118">
        <f>'Roads &amp; Mowing (2)'!N37</f>
        <v>125</v>
      </c>
      <c r="Y125" s="130">
        <f t="shared" si="14"/>
        <v>1500</v>
      </c>
      <c r="Z125" s="113">
        <f t="shared" si="25"/>
        <v>0</v>
      </c>
      <c r="AA125" s="100">
        <f>+'General Fund'!Y125+'Road Fund'!Y125+'Lake Fund'!Y125+'Emergency Fund'!Y125-Y125</f>
        <v>0</v>
      </c>
    </row>
    <row r="126" spans="1:27" x14ac:dyDescent="0.25">
      <c r="A126" s="107"/>
      <c r="B126" s="107"/>
      <c r="C126" s="107"/>
      <c r="D126" s="107"/>
      <c r="E126" s="107"/>
      <c r="F126" s="132" t="s">
        <v>93</v>
      </c>
      <c r="G126" s="107"/>
      <c r="H126" s="118">
        <f>'Roads &amp; Mowing (2)'!M12</f>
        <v>350</v>
      </c>
      <c r="I126" s="118">
        <f>'Roads &amp; Mowing (2)'!N12</f>
        <v>355.24999999999994</v>
      </c>
      <c r="J126" s="118">
        <f>'Roads &amp; Mowing (2)'!O12</f>
        <v>360.5787499999999</v>
      </c>
      <c r="K126" s="118">
        <f>'Roads &amp; Mowing (2)'!P12</f>
        <v>365.98743124999987</v>
      </c>
      <c r="L126" s="118">
        <f>'Roads &amp; Mowing (2)'!Q12</f>
        <v>371.47724271874984</v>
      </c>
      <c r="M126" s="118">
        <f>'Roads &amp; Mowing (2)'!C38</f>
        <v>29.166666666666668</v>
      </c>
      <c r="N126" s="118">
        <f>'Roads &amp; Mowing (2)'!D38</f>
        <v>29.166666666666668</v>
      </c>
      <c r="O126" s="118">
        <f>'Roads &amp; Mowing (2)'!E38</f>
        <v>29.166666666666668</v>
      </c>
      <c r="P126" s="118">
        <f>'Roads &amp; Mowing (2)'!F38</f>
        <v>29.166666666666668</v>
      </c>
      <c r="Q126" s="118">
        <f>'Roads &amp; Mowing (2)'!G38</f>
        <v>29.166666666666668</v>
      </c>
      <c r="R126" s="118">
        <f>'Roads &amp; Mowing (2)'!H38</f>
        <v>29.166666666666668</v>
      </c>
      <c r="S126" s="118">
        <f>'Roads &amp; Mowing (2)'!I38</f>
        <v>29.166666666666668</v>
      </c>
      <c r="T126" s="118">
        <f>'Roads &amp; Mowing (2)'!J38</f>
        <v>29.166666666666668</v>
      </c>
      <c r="U126" s="118">
        <f>'Roads &amp; Mowing (2)'!K38</f>
        <v>29.166666666666668</v>
      </c>
      <c r="V126" s="118">
        <f>'Roads &amp; Mowing (2)'!L38</f>
        <v>29.166666666666668</v>
      </c>
      <c r="W126" s="118">
        <f>'Roads &amp; Mowing (2)'!M38</f>
        <v>29.166666666666668</v>
      </c>
      <c r="X126" s="118">
        <f>'Roads &amp; Mowing (2)'!N38</f>
        <v>29.166666666666668</v>
      </c>
      <c r="Y126" s="130">
        <f t="shared" si="14"/>
        <v>350.00000000000006</v>
      </c>
      <c r="Z126" s="113">
        <f t="shared" si="25"/>
        <v>0</v>
      </c>
      <c r="AA126" s="100">
        <f>+'General Fund'!Y126+'Road Fund'!Y126+'Lake Fund'!Y126+'Emergency Fund'!Y126-Y126</f>
        <v>0</v>
      </c>
    </row>
    <row r="127" spans="1:27" x14ac:dyDescent="0.25">
      <c r="A127" s="107"/>
      <c r="B127" s="107"/>
      <c r="C127" s="107"/>
      <c r="D127" s="107"/>
      <c r="E127" s="107"/>
      <c r="F127" s="132" t="s">
        <v>94</v>
      </c>
      <c r="G127" s="107"/>
      <c r="H127" s="118">
        <f>'Roads &amp; Mowing (2)'!M13</f>
        <v>0</v>
      </c>
      <c r="I127" s="118">
        <f>'Roads &amp; Mowing (2)'!N13</f>
        <v>0</v>
      </c>
      <c r="J127" s="118">
        <f>'Roads &amp; Mowing (2)'!O13</f>
        <v>0</v>
      </c>
      <c r="K127" s="118">
        <f>'Roads &amp; Mowing (2)'!P13</f>
        <v>0</v>
      </c>
      <c r="L127" s="118">
        <f>'Roads &amp; Mowing (2)'!Q13</f>
        <v>0</v>
      </c>
      <c r="M127" s="118">
        <f>'Roads &amp; Mowing (2)'!C39</f>
        <v>0</v>
      </c>
      <c r="N127" s="118">
        <f>'Roads &amp; Mowing (2)'!D39</f>
        <v>0</v>
      </c>
      <c r="O127" s="118">
        <f>'Roads &amp; Mowing (2)'!E39</f>
        <v>0</v>
      </c>
      <c r="P127" s="118">
        <f>'Roads &amp; Mowing (2)'!F39</f>
        <v>0</v>
      </c>
      <c r="Q127" s="118">
        <f>'Roads &amp; Mowing (2)'!G39</f>
        <v>0</v>
      </c>
      <c r="R127" s="118">
        <f>'Roads &amp; Mowing (2)'!H39</f>
        <v>0</v>
      </c>
      <c r="S127" s="118">
        <f>'Roads &amp; Mowing (2)'!I39</f>
        <v>0</v>
      </c>
      <c r="T127" s="118">
        <f>'Roads &amp; Mowing (2)'!J39</f>
        <v>0</v>
      </c>
      <c r="U127" s="118">
        <f>'Roads &amp; Mowing (2)'!K39</f>
        <v>0</v>
      </c>
      <c r="V127" s="118">
        <f>'Roads &amp; Mowing (2)'!L39</f>
        <v>0</v>
      </c>
      <c r="W127" s="118">
        <f>'Roads &amp; Mowing (2)'!M39</f>
        <v>0</v>
      </c>
      <c r="X127" s="118">
        <f>'Roads &amp; Mowing (2)'!N39</f>
        <v>0</v>
      </c>
      <c r="Y127" s="130">
        <f t="shared" si="14"/>
        <v>0</v>
      </c>
      <c r="Z127" s="113">
        <f t="shared" si="25"/>
        <v>0</v>
      </c>
      <c r="AA127" s="100">
        <f>+'General Fund'!Y127+'Road Fund'!Y127+'Lake Fund'!Y127+'Emergency Fund'!Y127-Y127</f>
        <v>0</v>
      </c>
    </row>
    <row r="128" spans="1:27" x14ac:dyDescent="0.25">
      <c r="A128" s="107"/>
      <c r="B128" s="107"/>
      <c r="C128" s="107"/>
      <c r="D128" s="107"/>
      <c r="E128" s="107"/>
      <c r="F128" s="132" t="s">
        <v>95</v>
      </c>
      <c r="G128" s="107"/>
      <c r="H128" s="118">
        <f>'Roads &amp; Mowing (2)'!M14</f>
        <v>1200</v>
      </c>
      <c r="I128" s="118">
        <f>'Roads &amp; Mowing (2)'!N14</f>
        <v>1217.9999999999998</v>
      </c>
      <c r="J128" s="118">
        <f>'Roads &amp; Mowing (2)'!O14</f>
        <v>1236.2699999999998</v>
      </c>
      <c r="K128" s="118">
        <f>'Roads &amp; Mowing (2)'!P14</f>
        <v>1254.8140499999997</v>
      </c>
      <c r="L128" s="118">
        <f>'Roads &amp; Mowing (2)'!Q14</f>
        <v>1273.6362607499996</v>
      </c>
      <c r="M128" s="118">
        <f>'Roads &amp; Mowing (2)'!C40</f>
        <v>100</v>
      </c>
      <c r="N128" s="118">
        <f>'Roads &amp; Mowing (2)'!D40</f>
        <v>100</v>
      </c>
      <c r="O128" s="118">
        <f>'Roads &amp; Mowing (2)'!E40</f>
        <v>100</v>
      </c>
      <c r="P128" s="118">
        <f>'Roads &amp; Mowing (2)'!F40</f>
        <v>100</v>
      </c>
      <c r="Q128" s="118">
        <f>'Roads &amp; Mowing (2)'!G40</f>
        <v>100</v>
      </c>
      <c r="R128" s="118">
        <f>'Roads &amp; Mowing (2)'!H40</f>
        <v>100</v>
      </c>
      <c r="S128" s="118">
        <f>'Roads &amp; Mowing (2)'!I40</f>
        <v>100</v>
      </c>
      <c r="T128" s="118">
        <f>'Roads &amp; Mowing (2)'!J40</f>
        <v>100</v>
      </c>
      <c r="U128" s="118">
        <f>'Roads &amp; Mowing (2)'!K40</f>
        <v>100</v>
      </c>
      <c r="V128" s="118">
        <f>'Roads &amp; Mowing (2)'!L40</f>
        <v>100</v>
      </c>
      <c r="W128" s="118">
        <f>'Roads &amp; Mowing (2)'!M40</f>
        <v>100</v>
      </c>
      <c r="X128" s="118">
        <f>'Roads &amp; Mowing (2)'!N40</f>
        <v>100</v>
      </c>
      <c r="Y128" s="130">
        <f t="shared" si="14"/>
        <v>1200</v>
      </c>
      <c r="Z128" s="113">
        <f t="shared" si="25"/>
        <v>0</v>
      </c>
      <c r="AA128" s="100">
        <f>+'General Fund'!Y128+'Road Fund'!Y128+'Lake Fund'!Y128+'Emergency Fund'!Y128-Y128</f>
        <v>0</v>
      </c>
    </row>
    <row r="129" spans="1:27" x14ac:dyDescent="0.25">
      <c r="A129" s="107"/>
      <c r="B129" s="107"/>
      <c r="C129" s="107"/>
      <c r="D129" s="107"/>
      <c r="E129" s="107"/>
      <c r="F129" s="132" t="s">
        <v>96</v>
      </c>
      <c r="G129" s="107"/>
      <c r="H129" s="118">
        <f>'Roads &amp; Mowing (2)'!M15</f>
        <v>325</v>
      </c>
      <c r="I129" s="118">
        <f>'Roads &amp; Mowing (2)'!N15</f>
        <v>329.87499999999994</v>
      </c>
      <c r="J129" s="118">
        <f>'Roads &amp; Mowing (2)'!O15</f>
        <v>334.82312499999989</v>
      </c>
      <c r="K129" s="118">
        <f>'Roads &amp; Mowing (2)'!P15</f>
        <v>339.84547187499987</v>
      </c>
      <c r="L129" s="118">
        <f>'Roads &amp; Mowing (2)'!Q15</f>
        <v>344.94315395312486</v>
      </c>
      <c r="M129" s="118">
        <f>'Roads &amp; Mowing (2)'!C41</f>
        <v>27.083333333333332</v>
      </c>
      <c r="N129" s="118">
        <f>'Roads &amp; Mowing (2)'!D41</f>
        <v>27.083333333333332</v>
      </c>
      <c r="O129" s="118">
        <f>'Roads &amp; Mowing (2)'!E41</f>
        <v>27.083333333333332</v>
      </c>
      <c r="P129" s="118">
        <f>'Roads &amp; Mowing (2)'!F41</f>
        <v>27.083333333333332</v>
      </c>
      <c r="Q129" s="118">
        <f>'Roads &amp; Mowing (2)'!G41</f>
        <v>27.083333333333332</v>
      </c>
      <c r="R129" s="118">
        <f>'Roads &amp; Mowing (2)'!H41</f>
        <v>27.083333333333332</v>
      </c>
      <c r="S129" s="118">
        <f>'Roads &amp; Mowing (2)'!I41</f>
        <v>27.083333333333332</v>
      </c>
      <c r="T129" s="118">
        <f>'Roads &amp; Mowing (2)'!J41</f>
        <v>27.083333333333332</v>
      </c>
      <c r="U129" s="118">
        <f>'Roads &amp; Mowing (2)'!K41</f>
        <v>27.083333333333332</v>
      </c>
      <c r="V129" s="118">
        <f>'Roads &amp; Mowing (2)'!L41</f>
        <v>27.083333333333332</v>
      </c>
      <c r="W129" s="118">
        <f>'Roads &amp; Mowing (2)'!M41</f>
        <v>27.083333333333332</v>
      </c>
      <c r="X129" s="118">
        <f>'Roads &amp; Mowing (2)'!N41</f>
        <v>27.083333333333332</v>
      </c>
      <c r="Y129" s="130">
        <f t="shared" si="14"/>
        <v>325</v>
      </c>
      <c r="Z129" s="113">
        <f t="shared" si="25"/>
        <v>0</v>
      </c>
      <c r="AA129" s="100">
        <f>+'General Fund'!Y129+'Road Fund'!Y129+'Lake Fund'!Y129+'Emergency Fund'!Y129-Y129</f>
        <v>0</v>
      </c>
    </row>
    <row r="130" spans="1:27" x14ac:dyDescent="0.25">
      <c r="A130" s="107"/>
      <c r="B130" s="107"/>
      <c r="C130" s="107"/>
      <c r="D130" s="107"/>
      <c r="E130" s="107"/>
      <c r="F130" s="132" t="s">
        <v>97</v>
      </c>
      <c r="G130" s="107"/>
      <c r="H130" s="118">
        <f>'Roads &amp; Mowing (2)'!M16</f>
        <v>5500</v>
      </c>
      <c r="I130" s="118">
        <f>'Roads &amp; Mowing (2)'!N16</f>
        <v>0</v>
      </c>
      <c r="J130" s="118">
        <f>'Roads &amp; Mowing (2)'!O16</f>
        <v>0</v>
      </c>
      <c r="K130" s="118">
        <f>'Roads &amp; Mowing (2)'!P16</f>
        <v>0</v>
      </c>
      <c r="L130" s="118">
        <f>'Roads &amp; Mowing (2)'!Q16</f>
        <v>0</v>
      </c>
      <c r="M130" s="118">
        <f>'Roads &amp; Mowing (2)'!C42</f>
        <v>0</v>
      </c>
      <c r="N130" s="118">
        <f>'Roads &amp; Mowing (2)'!D42</f>
        <v>0</v>
      </c>
      <c r="O130" s="118">
        <f>'Roads &amp; Mowing (2)'!E42</f>
        <v>0</v>
      </c>
      <c r="P130" s="118">
        <f>'Roads &amp; Mowing (2)'!F42</f>
        <v>0</v>
      </c>
      <c r="Q130" s="118">
        <f>'Roads &amp; Mowing (2)'!G42</f>
        <v>0</v>
      </c>
      <c r="R130" s="118">
        <f>'Roads &amp; Mowing (2)'!H42</f>
        <v>0</v>
      </c>
      <c r="S130" s="118">
        <f>'Roads &amp; Mowing (2)'!I42</f>
        <v>0</v>
      </c>
      <c r="T130" s="118">
        <f>'Roads &amp; Mowing (2)'!J42</f>
        <v>5500</v>
      </c>
      <c r="U130" s="118">
        <f>'Roads &amp; Mowing (2)'!K42</f>
        <v>0</v>
      </c>
      <c r="V130" s="118">
        <f>'Roads &amp; Mowing (2)'!L42</f>
        <v>0</v>
      </c>
      <c r="W130" s="118">
        <f>'Roads &amp; Mowing (2)'!M42</f>
        <v>0</v>
      </c>
      <c r="X130" s="118">
        <f>'Roads &amp; Mowing (2)'!N42</f>
        <v>0</v>
      </c>
      <c r="Y130" s="130">
        <f t="shared" si="14"/>
        <v>5500</v>
      </c>
      <c r="Z130" s="113">
        <f t="shared" si="25"/>
        <v>0</v>
      </c>
      <c r="AA130" s="100">
        <f>+'General Fund'!Y130+'Road Fund'!Y130+'Lake Fund'!Y130+'Emergency Fund'!Y130-Y130</f>
        <v>0</v>
      </c>
    </row>
    <row r="131" spans="1:27" x14ac:dyDescent="0.25">
      <c r="A131" s="107"/>
      <c r="B131" s="107"/>
      <c r="C131" s="107"/>
      <c r="D131" s="107"/>
      <c r="E131" s="107"/>
      <c r="F131" s="132" t="s">
        <v>98</v>
      </c>
      <c r="G131" s="107"/>
      <c r="H131" s="118">
        <f>'Roads &amp; Mowing (2)'!M17</f>
        <v>6000</v>
      </c>
      <c r="I131" s="118">
        <f>'Roads &amp; Mowing (2)'!N17</f>
        <v>6089.9999999999991</v>
      </c>
      <c r="J131" s="118">
        <f>'Roads &amp; Mowing (2)'!O17</f>
        <v>6181.3499999999985</v>
      </c>
      <c r="K131" s="118">
        <f>'Roads &amp; Mowing (2)'!P17</f>
        <v>6274.0702499999979</v>
      </c>
      <c r="L131" s="118">
        <f>'Roads &amp; Mowing (2)'!Q17</f>
        <v>6368.1813037499969</v>
      </c>
      <c r="M131" s="118">
        <f>'Roads &amp; Mowing (2)'!C43</f>
        <v>0</v>
      </c>
      <c r="N131" s="118">
        <f>'Roads &amp; Mowing (2)'!D43</f>
        <v>0</v>
      </c>
      <c r="O131" s="118">
        <f>'Roads &amp; Mowing (2)'!E43</f>
        <v>0</v>
      </c>
      <c r="P131" s="118">
        <f>'Roads &amp; Mowing (2)'!F43</f>
        <v>0</v>
      </c>
      <c r="Q131" s="118">
        <f>'Roads &amp; Mowing (2)'!G43</f>
        <v>0</v>
      </c>
      <c r="R131" s="118">
        <f>'Roads &amp; Mowing (2)'!H43</f>
        <v>0</v>
      </c>
      <c r="S131" s="118">
        <f>'Roads &amp; Mowing (2)'!I43</f>
        <v>0</v>
      </c>
      <c r="T131" s="118">
        <f>'Roads &amp; Mowing (2)'!J43</f>
        <v>0</v>
      </c>
      <c r="U131" s="118">
        <f>'Roads &amp; Mowing (2)'!K43</f>
        <v>0</v>
      </c>
      <c r="V131" s="118">
        <f>'Roads &amp; Mowing (2)'!L43</f>
        <v>0</v>
      </c>
      <c r="W131" s="118">
        <f>'Roads &amp; Mowing (2)'!M43</f>
        <v>0</v>
      </c>
      <c r="X131" s="118">
        <f>'Roads &amp; Mowing (2)'!N43</f>
        <v>6000</v>
      </c>
      <c r="Y131" s="130">
        <f t="shared" si="14"/>
        <v>6000</v>
      </c>
      <c r="Z131" s="113">
        <f t="shared" si="25"/>
        <v>0</v>
      </c>
      <c r="AA131" s="100">
        <f>+'General Fund'!Y131+'Road Fund'!Y131+'Lake Fund'!Y131+'Emergency Fund'!Y131-Y131</f>
        <v>0</v>
      </c>
    </row>
    <row r="132" spans="1:27" x14ac:dyDescent="0.25">
      <c r="A132" s="107"/>
      <c r="B132" s="107"/>
      <c r="C132" s="107"/>
      <c r="D132" s="107"/>
      <c r="E132" s="107"/>
      <c r="F132" s="132" t="s">
        <v>99</v>
      </c>
      <c r="G132" s="107"/>
      <c r="H132" s="118">
        <f>'Roads &amp; Mowing (2)'!M18</f>
        <v>1600</v>
      </c>
      <c r="I132" s="118">
        <f>'Roads &amp; Mowing (2)'!N18</f>
        <v>1623.9999999999998</v>
      </c>
      <c r="J132" s="118">
        <f>'Roads &amp; Mowing (2)'!O18</f>
        <v>1648.3599999999997</v>
      </c>
      <c r="K132" s="118">
        <f>'Roads &amp; Mowing (2)'!P18</f>
        <v>1673.0853999999995</v>
      </c>
      <c r="L132" s="118">
        <f>'Roads &amp; Mowing (2)'!Q18</f>
        <v>1698.1816809999993</v>
      </c>
      <c r="M132" s="118">
        <f>'Roads &amp; Mowing (2)'!C44</f>
        <v>133.33333333333334</v>
      </c>
      <c r="N132" s="118">
        <f>'Roads &amp; Mowing (2)'!D44</f>
        <v>133.33333333333334</v>
      </c>
      <c r="O132" s="118">
        <f>'Roads &amp; Mowing (2)'!E44</f>
        <v>133.33333333333334</v>
      </c>
      <c r="P132" s="118">
        <f>'Roads &amp; Mowing (2)'!F44</f>
        <v>133.33333333333334</v>
      </c>
      <c r="Q132" s="118">
        <f>'Roads &amp; Mowing (2)'!G44</f>
        <v>133.33333333333334</v>
      </c>
      <c r="R132" s="118">
        <f>'Roads &amp; Mowing (2)'!H44</f>
        <v>133.33333333333334</v>
      </c>
      <c r="S132" s="118">
        <f>'Roads &amp; Mowing (2)'!I44</f>
        <v>133.33333333333334</v>
      </c>
      <c r="T132" s="118">
        <f>'Roads &amp; Mowing (2)'!J44</f>
        <v>133.33333333333334</v>
      </c>
      <c r="U132" s="118">
        <f>'Roads &amp; Mowing (2)'!K44</f>
        <v>133.33333333333334</v>
      </c>
      <c r="V132" s="118">
        <f>'Roads &amp; Mowing (2)'!L44</f>
        <v>133.33333333333334</v>
      </c>
      <c r="W132" s="118">
        <f>'Roads &amp; Mowing (2)'!M44</f>
        <v>133.33333333333334</v>
      </c>
      <c r="X132" s="118">
        <f>'Roads &amp; Mowing (2)'!N44</f>
        <v>133.33333333333334</v>
      </c>
      <c r="Y132" s="130">
        <f t="shared" si="14"/>
        <v>1599.9999999999998</v>
      </c>
      <c r="Z132" s="113">
        <f t="shared" si="25"/>
        <v>0</v>
      </c>
      <c r="AA132" s="100">
        <f>+'General Fund'!Y132+'Road Fund'!Y132+'Lake Fund'!Y132+'Emergency Fund'!Y132-Y132</f>
        <v>0</v>
      </c>
    </row>
    <row r="133" spans="1:27" x14ac:dyDescent="0.25">
      <c r="A133" s="107"/>
      <c r="B133" s="107"/>
      <c r="C133" s="107"/>
      <c r="D133" s="107"/>
      <c r="E133" s="107"/>
      <c r="F133" s="132" t="s">
        <v>100</v>
      </c>
      <c r="G133" s="107"/>
      <c r="H133" s="118">
        <f>'Roads &amp; Mowing (2)'!M19</f>
        <v>0</v>
      </c>
      <c r="I133" s="118">
        <f>'Roads &amp; Mowing (2)'!N19</f>
        <v>0</v>
      </c>
      <c r="J133" s="118">
        <f>'Roads &amp; Mowing (2)'!O19</f>
        <v>0</v>
      </c>
      <c r="K133" s="118">
        <f>'Roads &amp; Mowing (2)'!P19</f>
        <v>0</v>
      </c>
      <c r="L133" s="118">
        <f>'Roads &amp; Mowing (2)'!Q19</f>
        <v>0</v>
      </c>
      <c r="M133" s="118">
        <f>'Roads &amp; Mowing (2)'!C45</f>
        <v>0</v>
      </c>
      <c r="N133" s="118">
        <f>'Roads &amp; Mowing (2)'!D45</f>
        <v>0</v>
      </c>
      <c r="O133" s="118">
        <f>'Roads &amp; Mowing (2)'!E45</f>
        <v>0</v>
      </c>
      <c r="P133" s="118">
        <f>'Roads &amp; Mowing (2)'!F45</f>
        <v>0</v>
      </c>
      <c r="Q133" s="118">
        <f>'Roads &amp; Mowing (2)'!G45</f>
        <v>0</v>
      </c>
      <c r="R133" s="118">
        <f>'Roads &amp; Mowing (2)'!H45</f>
        <v>0</v>
      </c>
      <c r="S133" s="118">
        <f>'Roads &amp; Mowing (2)'!I45</f>
        <v>0</v>
      </c>
      <c r="T133" s="118">
        <f>'Roads &amp; Mowing (2)'!J45</f>
        <v>0</v>
      </c>
      <c r="U133" s="118">
        <f>'Roads &amp; Mowing (2)'!K45</f>
        <v>0</v>
      </c>
      <c r="V133" s="118">
        <f>'Roads &amp; Mowing (2)'!L45</f>
        <v>0</v>
      </c>
      <c r="W133" s="118">
        <f>'Roads &amp; Mowing (2)'!M45</f>
        <v>0</v>
      </c>
      <c r="X133" s="118">
        <f>'Roads &amp; Mowing (2)'!N45</f>
        <v>0</v>
      </c>
      <c r="Y133" s="130">
        <f t="shared" si="14"/>
        <v>0</v>
      </c>
      <c r="Z133" s="113">
        <f t="shared" si="25"/>
        <v>0</v>
      </c>
      <c r="AA133" s="100">
        <f>+'General Fund'!Y133+'Road Fund'!Y133+'Lake Fund'!Y133+'Emergency Fund'!Y133-Y133</f>
        <v>0</v>
      </c>
    </row>
    <row r="134" spans="1:27" x14ac:dyDescent="0.25">
      <c r="A134" s="107"/>
      <c r="B134" s="107"/>
      <c r="C134" s="107"/>
      <c r="D134" s="107"/>
      <c r="E134" s="107"/>
      <c r="F134" s="132" t="s">
        <v>101</v>
      </c>
      <c r="G134" s="107"/>
      <c r="H134" s="118">
        <f>'Roads &amp; Mowing (2)'!M20</f>
        <v>4000</v>
      </c>
      <c r="I134" s="118">
        <f>'Roads &amp; Mowing (2)'!N20</f>
        <v>4059.9999999999995</v>
      </c>
      <c r="J134" s="118">
        <f>'Roads &amp; Mowing (2)'!O20</f>
        <v>4120.8999999999987</v>
      </c>
      <c r="K134" s="118">
        <f>'Roads &amp; Mowing (2)'!P20</f>
        <v>4182.713499999998</v>
      </c>
      <c r="L134" s="118">
        <f>'Roads &amp; Mowing (2)'!Q20</f>
        <v>4245.4542024999973</v>
      </c>
      <c r="M134" s="118">
        <f>'Roads &amp; Mowing (2)'!C46</f>
        <v>333.33333333333331</v>
      </c>
      <c r="N134" s="118">
        <f>'Roads &amp; Mowing (2)'!D46</f>
        <v>333.33333333333331</v>
      </c>
      <c r="O134" s="118">
        <f>'Roads &amp; Mowing (2)'!E46</f>
        <v>333.33333333333331</v>
      </c>
      <c r="P134" s="118">
        <f>'Roads &amp; Mowing (2)'!F46</f>
        <v>333.33333333333331</v>
      </c>
      <c r="Q134" s="118">
        <f>'Roads &amp; Mowing (2)'!G46</f>
        <v>333.33333333333331</v>
      </c>
      <c r="R134" s="118">
        <f>'Roads &amp; Mowing (2)'!H46</f>
        <v>333.33333333333331</v>
      </c>
      <c r="S134" s="118">
        <f>'Roads &amp; Mowing (2)'!I46</f>
        <v>333.33333333333331</v>
      </c>
      <c r="T134" s="118">
        <f>'Roads &amp; Mowing (2)'!J46</f>
        <v>333.33333333333331</v>
      </c>
      <c r="U134" s="118">
        <f>'Roads &amp; Mowing (2)'!K46</f>
        <v>333.33333333333331</v>
      </c>
      <c r="V134" s="118">
        <f>'Roads &amp; Mowing (2)'!L46</f>
        <v>333.33333333333331</v>
      </c>
      <c r="W134" s="118">
        <f>'Roads &amp; Mowing (2)'!M46</f>
        <v>333.33333333333331</v>
      </c>
      <c r="X134" s="118">
        <f>'Roads &amp; Mowing (2)'!N46</f>
        <v>333.33333333333331</v>
      </c>
      <c r="Y134" s="130">
        <f t="shared" si="14"/>
        <v>4000.0000000000005</v>
      </c>
      <c r="Z134" s="113">
        <f t="shared" si="25"/>
        <v>0</v>
      </c>
      <c r="AA134" s="100">
        <f>+'General Fund'!Y134+'Road Fund'!Y134+'Lake Fund'!Y134+'Emergency Fund'!Y134-Y134</f>
        <v>0</v>
      </c>
    </row>
    <row r="135" spans="1:27" x14ac:dyDescent="0.25">
      <c r="A135" s="107"/>
      <c r="B135" s="107"/>
      <c r="C135" s="107"/>
      <c r="D135" s="107"/>
      <c r="E135" s="107"/>
      <c r="F135" s="132" t="s">
        <v>102</v>
      </c>
      <c r="G135" s="107"/>
      <c r="H135" s="118">
        <f>'Roads &amp; Mowing (2)'!M21</f>
        <v>0</v>
      </c>
      <c r="I135" s="118">
        <f>'Roads &amp; Mowing (2)'!N21</f>
        <v>0</v>
      </c>
      <c r="J135" s="118">
        <f>'Roads &amp; Mowing (2)'!O21</f>
        <v>0</v>
      </c>
      <c r="K135" s="118">
        <f>'Roads &amp; Mowing (2)'!P21</f>
        <v>0</v>
      </c>
      <c r="L135" s="118">
        <f>'Roads &amp; Mowing (2)'!Q21</f>
        <v>0</v>
      </c>
      <c r="M135" s="118">
        <f>'Roads &amp; Mowing (2)'!C47</f>
        <v>0</v>
      </c>
      <c r="N135" s="118">
        <f>'Roads &amp; Mowing (2)'!D47</f>
        <v>0</v>
      </c>
      <c r="O135" s="118">
        <f>'Roads &amp; Mowing (2)'!E47</f>
        <v>0</v>
      </c>
      <c r="P135" s="118">
        <f>'Roads &amp; Mowing (2)'!F47</f>
        <v>0</v>
      </c>
      <c r="Q135" s="118">
        <f>'Roads &amp; Mowing (2)'!G47</f>
        <v>0</v>
      </c>
      <c r="R135" s="118">
        <f>'Roads &amp; Mowing (2)'!H47</f>
        <v>0</v>
      </c>
      <c r="S135" s="118">
        <f>'Roads &amp; Mowing (2)'!I47</f>
        <v>0</v>
      </c>
      <c r="T135" s="118">
        <f>'Roads &amp; Mowing (2)'!J47</f>
        <v>0</v>
      </c>
      <c r="U135" s="118">
        <f>'Roads &amp; Mowing (2)'!K47</f>
        <v>0</v>
      </c>
      <c r="V135" s="118">
        <f>'Roads &amp; Mowing (2)'!L47</f>
        <v>0</v>
      </c>
      <c r="W135" s="118">
        <f>'Roads &amp; Mowing (2)'!M47</f>
        <v>0</v>
      </c>
      <c r="X135" s="118">
        <f>'Roads &amp; Mowing (2)'!N47</f>
        <v>0</v>
      </c>
      <c r="Y135" s="130">
        <f t="shared" ref="Y135:Y154" si="26">SUM(M135:X135)</f>
        <v>0</v>
      </c>
      <c r="Z135" s="113">
        <f t="shared" si="25"/>
        <v>0</v>
      </c>
      <c r="AA135" s="100">
        <f>+'General Fund'!Y135+'Road Fund'!Y135+'Lake Fund'!Y135+'Emergency Fund'!Y135-Y135</f>
        <v>0</v>
      </c>
    </row>
    <row r="136" spans="1:27" x14ac:dyDescent="0.25">
      <c r="A136" s="107"/>
      <c r="B136" s="107"/>
      <c r="C136" s="107"/>
      <c r="D136" s="107"/>
      <c r="E136" s="107"/>
      <c r="F136" s="132" t="s">
        <v>103</v>
      </c>
      <c r="G136" s="107"/>
      <c r="H136" s="118">
        <f>'Roads &amp; Mowing (2)'!M22</f>
        <v>2210</v>
      </c>
      <c r="I136" s="118">
        <f>'Roads &amp; Mowing (2)'!N22</f>
        <v>2243.1499999999996</v>
      </c>
      <c r="J136" s="118">
        <f>'Roads &amp; Mowing (2)'!O22</f>
        <v>2276.7972499999996</v>
      </c>
      <c r="K136" s="118">
        <f>'Roads &amp; Mowing (2)'!P22</f>
        <v>2310.9492087499993</v>
      </c>
      <c r="L136" s="118">
        <f>'Roads &amp; Mowing (2)'!Q22</f>
        <v>2345.6134468812493</v>
      </c>
      <c r="M136" s="118">
        <f>'Roads &amp; Mowing (2)'!C48</f>
        <v>552.5</v>
      </c>
      <c r="N136" s="118">
        <f>'Roads &amp; Mowing (2)'!D48</f>
        <v>552.5</v>
      </c>
      <c r="O136" s="118">
        <f>'Roads &amp; Mowing (2)'!E48</f>
        <v>0</v>
      </c>
      <c r="P136" s="118">
        <f>'Roads &amp; Mowing (2)'!F48</f>
        <v>0</v>
      </c>
      <c r="Q136" s="118">
        <f>'Roads &amp; Mowing (2)'!G48</f>
        <v>0</v>
      </c>
      <c r="R136" s="118">
        <f>'Roads &amp; Mowing (2)'!H48</f>
        <v>0</v>
      </c>
      <c r="S136" s="118">
        <f>'Roads &amp; Mowing (2)'!I48</f>
        <v>0</v>
      </c>
      <c r="T136" s="118">
        <f>'Roads &amp; Mowing (2)'!J48</f>
        <v>0</v>
      </c>
      <c r="U136" s="118">
        <f>'Roads &amp; Mowing (2)'!K48</f>
        <v>0</v>
      </c>
      <c r="V136" s="118">
        <f>'Roads &amp; Mowing (2)'!L48</f>
        <v>0</v>
      </c>
      <c r="W136" s="118">
        <f>'Roads &amp; Mowing (2)'!M48</f>
        <v>552.5</v>
      </c>
      <c r="X136" s="118">
        <f>'Roads &amp; Mowing (2)'!N48</f>
        <v>552.5</v>
      </c>
      <c r="Y136" s="130">
        <f t="shared" si="26"/>
        <v>2210</v>
      </c>
      <c r="Z136" s="113">
        <f t="shared" si="25"/>
        <v>0</v>
      </c>
      <c r="AA136" s="100">
        <f>+'General Fund'!Y136+'Road Fund'!Y136+'Lake Fund'!Y136+'Emergency Fund'!Y136-Y136</f>
        <v>0</v>
      </c>
    </row>
    <row r="137" spans="1:27" x14ac:dyDescent="0.25">
      <c r="A137" s="107"/>
      <c r="B137" s="107"/>
      <c r="C137" s="107"/>
      <c r="D137" s="107"/>
      <c r="E137" s="107"/>
      <c r="F137" s="132" t="s">
        <v>104</v>
      </c>
      <c r="G137" s="107"/>
      <c r="H137" s="118">
        <f>'Roads &amp; Mowing (2)'!M23</f>
        <v>0</v>
      </c>
      <c r="I137" s="118">
        <f>'Roads &amp; Mowing (2)'!N23</f>
        <v>0</v>
      </c>
      <c r="J137" s="118">
        <f>'Roads &amp; Mowing (2)'!O23</f>
        <v>0</v>
      </c>
      <c r="K137" s="118">
        <f>'Roads &amp; Mowing (2)'!P23</f>
        <v>0</v>
      </c>
      <c r="L137" s="118">
        <f>'Roads &amp; Mowing (2)'!Q23</f>
        <v>0</v>
      </c>
      <c r="M137" s="118">
        <f>'Roads &amp; Mowing (2)'!C49</f>
        <v>0</v>
      </c>
      <c r="N137" s="118">
        <f>'Roads &amp; Mowing (2)'!D49</f>
        <v>0</v>
      </c>
      <c r="O137" s="118">
        <f>'Roads &amp; Mowing (2)'!E49</f>
        <v>0</v>
      </c>
      <c r="P137" s="118">
        <f>'Roads &amp; Mowing (2)'!F49</f>
        <v>0</v>
      </c>
      <c r="Q137" s="118">
        <f>'Roads &amp; Mowing (2)'!G49</f>
        <v>0</v>
      </c>
      <c r="R137" s="118">
        <f>'Roads &amp; Mowing (2)'!H49</f>
        <v>0</v>
      </c>
      <c r="S137" s="118">
        <f>'Roads &amp; Mowing (2)'!I49</f>
        <v>0</v>
      </c>
      <c r="T137" s="118">
        <f>'Roads &amp; Mowing (2)'!J49</f>
        <v>0</v>
      </c>
      <c r="U137" s="118">
        <f>'Roads &amp; Mowing (2)'!K49</f>
        <v>0</v>
      </c>
      <c r="V137" s="118">
        <f>'Roads &amp; Mowing (2)'!L49</f>
        <v>0</v>
      </c>
      <c r="W137" s="118">
        <f>'Roads &amp; Mowing (2)'!M49</f>
        <v>0</v>
      </c>
      <c r="X137" s="118">
        <f>'Roads &amp; Mowing (2)'!N49</f>
        <v>0</v>
      </c>
      <c r="Y137" s="130">
        <f t="shared" si="26"/>
        <v>0</v>
      </c>
      <c r="Z137" s="113">
        <f t="shared" si="25"/>
        <v>0</v>
      </c>
      <c r="AA137" s="100">
        <f>+'General Fund'!Y137+'Road Fund'!Y137+'Lake Fund'!Y137+'Emergency Fund'!Y137-Y137</f>
        <v>0</v>
      </c>
    </row>
    <row r="138" spans="1:27" ht="15.75" thickBot="1" x14ac:dyDescent="0.3">
      <c r="A138" s="107"/>
      <c r="B138" s="107"/>
      <c r="C138" s="107"/>
      <c r="D138" s="107"/>
      <c r="E138" s="107"/>
      <c r="F138" s="132" t="s">
        <v>105</v>
      </c>
      <c r="G138" s="107"/>
      <c r="H138" s="118">
        <f>'Roads &amp; Mowing (2)'!M24</f>
        <v>0</v>
      </c>
      <c r="I138" s="118">
        <f>'Roads &amp; Mowing (2)'!N24</f>
        <v>0</v>
      </c>
      <c r="J138" s="118">
        <f>'Roads &amp; Mowing (2)'!O24</f>
        <v>0</v>
      </c>
      <c r="K138" s="118">
        <f>'Roads &amp; Mowing (2)'!P24</f>
        <v>0</v>
      </c>
      <c r="L138" s="118">
        <f>'Roads &amp; Mowing (2)'!Q24</f>
        <v>0</v>
      </c>
      <c r="M138" s="118">
        <f>'Roads &amp; Mowing (2)'!C50</f>
        <v>0</v>
      </c>
      <c r="N138" s="118">
        <f>'Roads &amp; Mowing (2)'!D50</f>
        <v>0</v>
      </c>
      <c r="O138" s="118">
        <f>'Roads &amp; Mowing (2)'!E50</f>
        <v>0</v>
      </c>
      <c r="P138" s="118">
        <f>'Roads &amp; Mowing (2)'!F50</f>
        <v>0</v>
      </c>
      <c r="Q138" s="118">
        <f>'Roads &amp; Mowing (2)'!G50</f>
        <v>0</v>
      </c>
      <c r="R138" s="118">
        <f>'Roads &amp; Mowing (2)'!H50</f>
        <v>0</v>
      </c>
      <c r="S138" s="118">
        <f>'Roads &amp; Mowing (2)'!I50</f>
        <v>0</v>
      </c>
      <c r="T138" s="118">
        <f>'Roads &amp; Mowing (2)'!J50</f>
        <v>0</v>
      </c>
      <c r="U138" s="118">
        <f>'Roads &amp; Mowing (2)'!K50</f>
        <v>0</v>
      </c>
      <c r="V138" s="118">
        <f>'Roads &amp; Mowing (2)'!L50</f>
        <v>0</v>
      </c>
      <c r="W138" s="118">
        <f>'Roads &amp; Mowing (2)'!M50</f>
        <v>0</v>
      </c>
      <c r="X138" s="118">
        <f>'Roads &amp; Mowing (2)'!N50</f>
        <v>0</v>
      </c>
      <c r="Y138" s="130">
        <f t="shared" si="26"/>
        <v>0</v>
      </c>
      <c r="Z138" s="113">
        <f t="shared" si="25"/>
        <v>0</v>
      </c>
      <c r="AA138" s="100">
        <f>+'General Fund'!Y138+'Road Fund'!Y138+'Lake Fund'!Y138+'Emergency Fund'!Y138-Y138</f>
        <v>0</v>
      </c>
    </row>
    <row r="139" spans="1:27" ht="15.75" thickBot="1" x14ac:dyDescent="0.3">
      <c r="A139" s="107"/>
      <c r="B139" s="107"/>
      <c r="C139" s="107"/>
      <c r="D139" s="107"/>
      <c r="E139" s="107" t="s">
        <v>106</v>
      </c>
      <c r="F139" s="107"/>
      <c r="G139" s="107"/>
      <c r="H139" s="131">
        <f>ROUND(SUM(H118:H138),5)</f>
        <v>108685</v>
      </c>
      <c r="I139" s="131">
        <f t="shared" ref="I139:L139" si="27">ROUND(SUM(I118:I138),5)</f>
        <v>117607.77499999999</v>
      </c>
      <c r="J139" s="131">
        <f t="shared" si="27"/>
        <v>79036.891629999998</v>
      </c>
      <c r="K139" s="131">
        <f t="shared" si="27"/>
        <v>79472.445000000007</v>
      </c>
      <c r="L139" s="131">
        <f t="shared" si="27"/>
        <v>79914.531669999997</v>
      </c>
      <c r="M139" s="131">
        <f t="shared" ref="M139:Y139" si="28">ROUND(SUM(M118:M138),5)</f>
        <v>2217.0833299999999</v>
      </c>
      <c r="N139" s="131">
        <f t="shared" si="28"/>
        <v>2217.0833299999999</v>
      </c>
      <c r="O139" s="131">
        <f t="shared" si="28"/>
        <v>1664.5833299999999</v>
      </c>
      <c r="P139" s="131">
        <f t="shared" si="28"/>
        <v>1664.5833299999999</v>
      </c>
      <c r="Q139" s="131">
        <f t="shared" si="28"/>
        <v>1664.5833299999999</v>
      </c>
      <c r="R139" s="131">
        <f t="shared" si="28"/>
        <v>26664.583330000001</v>
      </c>
      <c r="S139" s="131">
        <f t="shared" si="28"/>
        <v>26664.583330000001</v>
      </c>
      <c r="T139" s="131">
        <f t="shared" si="28"/>
        <v>32164.583330000001</v>
      </c>
      <c r="U139" s="131">
        <f t="shared" si="28"/>
        <v>1664.5833299999999</v>
      </c>
      <c r="V139" s="131">
        <f t="shared" si="28"/>
        <v>1664.5833299999999</v>
      </c>
      <c r="W139" s="131">
        <f t="shared" si="28"/>
        <v>2217.0833299999999</v>
      </c>
      <c r="X139" s="131">
        <f t="shared" si="28"/>
        <v>8217.0833299999995</v>
      </c>
      <c r="Y139" s="131">
        <f t="shared" si="28"/>
        <v>108685</v>
      </c>
      <c r="Z139" s="113">
        <f t="shared" si="25"/>
        <v>0</v>
      </c>
      <c r="AA139" s="100">
        <f>+'General Fund'!Y139+'Road Fund'!Y139+'Lake Fund'!Y139+'Emergency Fund'!Y139-Y139</f>
        <v>0</v>
      </c>
    </row>
    <row r="140" spans="1:27" hidden="1" x14ac:dyDescent="0.25">
      <c r="A140" s="107"/>
      <c r="B140" s="107"/>
      <c r="C140" s="107"/>
      <c r="D140" s="107" t="s">
        <v>164</v>
      </c>
      <c r="E140" s="107"/>
      <c r="F140" s="107"/>
      <c r="G140" s="107"/>
      <c r="H140" s="118">
        <f>ROUND(H28+H37+H61+H83+H116+H139,5)</f>
        <v>285547.32325000002</v>
      </c>
      <c r="I140" s="118">
        <f t="shared" ref="I140:L140" si="29">ROUND(I28+I37+I61+I83+I116+I139,5)</f>
        <v>369035.19193999999</v>
      </c>
      <c r="J140" s="118">
        <f t="shared" si="29"/>
        <v>260050.01014</v>
      </c>
      <c r="K140" s="118">
        <f t="shared" si="29"/>
        <v>319383.45832999999</v>
      </c>
      <c r="L140" s="118">
        <f t="shared" si="29"/>
        <v>254333.64489</v>
      </c>
      <c r="M140" s="118">
        <f t="shared" ref="M140:X140" si="30">ROUND(M28+M37+M61+M83+M116+M139,5)</f>
        <v>11310.610269999999</v>
      </c>
      <c r="N140" s="118">
        <f t="shared" si="30"/>
        <v>11310.610269999999</v>
      </c>
      <c r="O140" s="118">
        <f t="shared" si="30"/>
        <v>11348.110269999999</v>
      </c>
      <c r="P140" s="118">
        <f t="shared" si="30"/>
        <v>12948.110269999999</v>
      </c>
      <c r="Q140" s="118">
        <f t="shared" si="30"/>
        <v>43233.110269999997</v>
      </c>
      <c r="R140" s="118">
        <f t="shared" si="30"/>
        <v>54493.110269999997</v>
      </c>
      <c r="S140" s="118">
        <f t="shared" si="30"/>
        <v>42633.110269999997</v>
      </c>
      <c r="T140" s="118">
        <f t="shared" si="30"/>
        <v>44433.110269999997</v>
      </c>
      <c r="U140" s="118">
        <f t="shared" si="30"/>
        <v>11133.110269999999</v>
      </c>
      <c r="V140" s="118">
        <f t="shared" si="30"/>
        <v>11033.110269999999</v>
      </c>
      <c r="W140" s="118">
        <f t="shared" si="30"/>
        <v>13730.610269999999</v>
      </c>
      <c r="X140" s="118">
        <f t="shared" si="30"/>
        <v>17940.610270000001</v>
      </c>
      <c r="Y140" s="130">
        <f t="shared" si="26"/>
        <v>285547.32324</v>
      </c>
      <c r="Z140" s="113">
        <f t="shared" si="25"/>
        <v>0</v>
      </c>
      <c r="AA140" s="100">
        <f>+'General Fund'!Y140+'Road Fund'!Y140+'Lake Fund'!Y140+'Emergency Fund'!Y140-Y140</f>
        <v>0</v>
      </c>
    </row>
    <row r="141" spans="1:27" x14ac:dyDescent="0.25">
      <c r="A141" s="107"/>
      <c r="B141" s="107"/>
      <c r="C141" s="107"/>
      <c r="D141" s="107" t="s">
        <v>128</v>
      </c>
      <c r="E141" s="107"/>
      <c r="F141" s="107"/>
      <c r="G141" s="107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30"/>
    </row>
    <row r="142" spans="1:27" x14ac:dyDescent="0.25">
      <c r="A142" s="107"/>
      <c r="B142" s="107"/>
      <c r="C142" s="107"/>
      <c r="D142" s="107"/>
      <c r="F142" s="107" t="s">
        <v>123</v>
      </c>
      <c r="G142" s="107"/>
      <c r="H142" s="118">
        <f>Finance!M4</f>
        <v>19000</v>
      </c>
      <c r="I142" s="118">
        <f>Finance!N4</f>
        <v>19284.999999999996</v>
      </c>
      <c r="J142" s="118">
        <f>Finance!O4</f>
        <v>19574.274999999994</v>
      </c>
      <c r="K142" s="118">
        <f>Finance!P4</f>
        <v>19867.889124999991</v>
      </c>
      <c r="L142" s="118">
        <f>Finance!Q4</f>
        <v>20165.907461874987</v>
      </c>
      <c r="M142" s="118">
        <f>Finance!C17</f>
        <v>1583.3333333333333</v>
      </c>
      <c r="N142" s="118">
        <f>Finance!D17</f>
        <v>1583.3333333333333</v>
      </c>
      <c r="O142" s="118">
        <f>Finance!E17</f>
        <v>1583.3333333333333</v>
      </c>
      <c r="P142" s="118">
        <f>Finance!F17</f>
        <v>1583.3333333333333</v>
      </c>
      <c r="Q142" s="118">
        <f>Finance!G17</f>
        <v>1583.3333333333333</v>
      </c>
      <c r="R142" s="118">
        <f>Finance!H17</f>
        <v>1583.3333333333333</v>
      </c>
      <c r="S142" s="118">
        <f>Finance!I17</f>
        <v>1583.3333333333333</v>
      </c>
      <c r="T142" s="118">
        <f>Finance!J17</f>
        <v>1583.3333333333333</v>
      </c>
      <c r="U142" s="118">
        <f>Finance!K17</f>
        <v>1583.3333333333333</v>
      </c>
      <c r="V142" s="118">
        <f>Finance!L17</f>
        <v>1583.3333333333333</v>
      </c>
      <c r="W142" s="118">
        <f>Finance!M17</f>
        <v>1583.3333333333333</v>
      </c>
      <c r="X142" s="118">
        <f>Finance!N17</f>
        <v>1583.3333333333333</v>
      </c>
      <c r="Y142" s="130">
        <f t="shared" si="26"/>
        <v>19000</v>
      </c>
      <c r="Z142" s="113">
        <f t="shared" si="25"/>
        <v>0</v>
      </c>
      <c r="AA142" s="100">
        <f>+'General Fund'!Y142+'Road Fund'!Y142+'Lake Fund'!Y142+'Emergency Fund'!Y142-Y142</f>
        <v>0</v>
      </c>
    </row>
    <row r="143" spans="1:27" x14ac:dyDescent="0.25">
      <c r="A143" s="107"/>
      <c r="B143" s="107"/>
      <c r="C143" s="107"/>
      <c r="D143" s="107"/>
      <c r="F143" s="107" t="s">
        <v>124</v>
      </c>
      <c r="G143" s="107"/>
      <c r="H143" s="118">
        <f>Finance!M5</f>
        <v>3399.8577024999995</v>
      </c>
      <c r="I143" s="118">
        <f>Finance!N5</f>
        <v>3450.8555680374993</v>
      </c>
      <c r="J143" s="118">
        <f>Finance!O5</f>
        <v>3502.6184015580616</v>
      </c>
      <c r="K143" s="118">
        <f>Finance!P5</f>
        <v>3555.1576775814319</v>
      </c>
      <c r="L143" s="118">
        <f>Finance!Q5</f>
        <v>3608.4850427451534</v>
      </c>
      <c r="M143" s="118">
        <f>Finance!C18</f>
        <v>283.32147520833331</v>
      </c>
      <c r="N143" s="118">
        <f>Finance!D18</f>
        <v>283.32147520833331</v>
      </c>
      <c r="O143" s="118">
        <f>Finance!E18</f>
        <v>283.32147520833331</v>
      </c>
      <c r="P143" s="118">
        <f>Finance!F18</f>
        <v>283.32147520833331</v>
      </c>
      <c r="Q143" s="118">
        <f>Finance!G18</f>
        <v>283.32147520833331</v>
      </c>
      <c r="R143" s="118">
        <f>Finance!H18</f>
        <v>283.32147520833331</v>
      </c>
      <c r="S143" s="118">
        <f>Finance!I18</f>
        <v>283.32147520833331</v>
      </c>
      <c r="T143" s="118">
        <f>Finance!J18</f>
        <v>283.32147520833331</v>
      </c>
      <c r="U143" s="118">
        <f>Finance!K18</f>
        <v>283.32147520833331</v>
      </c>
      <c r="V143" s="118">
        <f>Finance!L18</f>
        <v>283.32147520833331</v>
      </c>
      <c r="W143" s="118">
        <f>Finance!M18</f>
        <v>283.32147520833331</v>
      </c>
      <c r="X143" s="118">
        <f>Finance!N18</f>
        <v>283.32147520833331</v>
      </c>
      <c r="Y143" s="130">
        <f t="shared" si="26"/>
        <v>3399.857702499999</v>
      </c>
      <c r="Z143" s="113">
        <f t="shared" si="25"/>
        <v>0</v>
      </c>
      <c r="AA143" s="100">
        <f>+'General Fund'!Y143+'Road Fund'!Y143+'Lake Fund'!Y143+'Emergency Fund'!Y143-Y143</f>
        <v>0</v>
      </c>
    </row>
    <row r="144" spans="1:27" x14ac:dyDescent="0.25">
      <c r="A144" s="107"/>
      <c r="B144" s="107"/>
      <c r="C144" s="107"/>
      <c r="D144" s="107"/>
      <c r="F144" s="107" t="s">
        <v>125</v>
      </c>
      <c r="G144" s="107"/>
      <c r="H144" s="118">
        <f>Finance!M6</f>
        <v>0</v>
      </c>
      <c r="I144" s="118">
        <f>Finance!N6</f>
        <v>0</v>
      </c>
      <c r="J144" s="118">
        <f>Finance!O6</f>
        <v>0</v>
      </c>
      <c r="K144" s="118">
        <f>Finance!P6</f>
        <v>0</v>
      </c>
      <c r="L144" s="118">
        <f>Finance!Q6</f>
        <v>0</v>
      </c>
      <c r="M144" s="118">
        <f>Finance!C19</f>
        <v>0</v>
      </c>
      <c r="N144" s="118">
        <f>Finance!D19</f>
        <v>0</v>
      </c>
      <c r="O144" s="118">
        <f>Finance!E19</f>
        <v>0</v>
      </c>
      <c r="P144" s="118">
        <f>Finance!F19</f>
        <v>0</v>
      </c>
      <c r="Q144" s="118">
        <f>Finance!G19</f>
        <v>0</v>
      </c>
      <c r="R144" s="118">
        <f>Finance!H19</f>
        <v>0</v>
      </c>
      <c r="S144" s="118">
        <f>Finance!I19</f>
        <v>0</v>
      </c>
      <c r="T144" s="118">
        <f>Finance!J19</f>
        <v>0</v>
      </c>
      <c r="U144" s="118">
        <f>Finance!K19</f>
        <v>0</v>
      </c>
      <c r="V144" s="118">
        <f>Finance!L19</f>
        <v>0</v>
      </c>
      <c r="W144" s="118">
        <f>Finance!M19</f>
        <v>0</v>
      </c>
      <c r="X144" s="118">
        <f>Finance!N19</f>
        <v>0</v>
      </c>
      <c r="Y144" s="130">
        <f t="shared" si="26"/>
        <v>0</v>
      </c>
      <c r="Z144" s="113">
        <f t="shared" si="25"/>
        <v>0</v>
      </c>
      <c r="AA144" s="100">
        <f>+'General Fund'!Y144+'Road Fund'!Y144+'Lake Fund'!Y144+'Emergency Fund'!Y144-Y144</f>
        <v>0</v>
      </c>
    </row>
    <row r="145" spans="1:27" x14ac:dyDescent="0.25">
      <c r="A145" s="107"/>
      <c r="B145" s="107"/>
      <c r="C145" s="107"/>
      <c r="D145" s="107"/>
      <c r="F145" s="107" t="s">
        <v>126</v>
      </c>
      <c r="G145" s="107"/>
      <c r="H145" s="118">
        <f>Finance!M7</f>
        <v>37750</v>
      </c>
      <c r="I145" s="118">
        <f>Finance!N7</f>
        <v>37750</v>
      </c>
      <c r="J145" s="118">
        <f>Finance!O7</f>
        <v>37750</v>
      </c>
      <c r="K145" s="118">
        <f>Finance!P7</f>
        <v>37750</v>
      </c>
      <c r="L145" s="118">
        <f>Finance!Q7</f>
        <v>37750</v>
      </c>
      <c r="M145" s="118">
        <f>Finance!C20</f>
        <v>3145.8333333333335</v>
      </c>
      <c r="N145" s="118">
        <f>Finance!D20</f>
        <v>3145.8333333333335</v>
      </c>
      <c r="O145" s="118">
        <f>Finance!E20</f>
        <v>3145.8333333333335</v>
      </c>
      <c r="P145" s="118">
        <f>Finance!F20</f>
        <v>3145.8333333333335</v>
      </c>
      <c r="Q145" s="118">
        <f>Finance!G20</f>
        <v>3145.8333333333335</v>
      </c>
      <c r="R145" s="118">
        <f>Finance!H20</f>
        <v>3145.8333333333335</v>
      </c>
      <c r="S145" s="118">
        <f>Finance!I20</f>
        <v>3145.8333333333335</v>
      </c>
      <c r="T145" s="118">
        <f>Finance!J20</f>
        <v>3145.8333333333335</v>
      </c>
      <c r="U145" s="118">
        <f>Finance!K20</f>
        <v>3145.8333333333335</v>
      </c>
      <c r="V145" s="118">
        <f>Finance!L20</f>
        <v>3145.8333333333335</v>
      </c>
      <c r="W145" s="118">
        <f>Finance!M20</f>
        <v>3145.8333333333335</v>
      </c>
      <c r="X145" s="118">
        <f>Finance!N20</f>
        <v>3145.8333333333335</v>
      </c>
      <c r="Y145" s="130">
        <f t="shared" si="26"/>
        <v>37750</v>
      </c>
      <c r="Z145" s="113">
        <f t="shared" si="25"/>
        <v>0</v>
      </c>
      <c r="AA145" s="100">
        <f>+'General Fund'!Y145+'Road Fund'!Y145+'Lake Fund'!Y145+'Emergency Fund'!Y145-Y145</f>
        <v>0</v>
      </c>
    </row>
    <row r="146" spans="1:27" ht="15.75" thickBot="1" x14ac:dyDescent="0.3">
      <c r="A146" s="107"/>
      <c r="B146" s="107"/>
      <c r="C146" s="107"/>
      <c r="D146" s="107"/>
      <c r="F146" s="107" t="s">
        <v>127</v>
      </c>
      <c r="G146" s="107"/>
      <c r="H146" s="134">
        <f>Finance!M8</f>
        <v>13599.430809999998</v>
      </c>
      <c r="I146" s="134">
        <f>Finance!N8</f>
        <v>13803.422272149997</v>
      </c>
      <c r="J146" s="134">
        <f>Finance!O8</f>
        <v>14010.473606232246</v>
      </c>
      <c r="K146" s="134">
        <f>Finance!P8</f>
        <v>14220.630710325728</v>
      </c>
      <c r="L146" s="134">
        <f>Finance!Q8</f>
        <v>14433.940170980613</v>
      </c>
      <c r="M146" s="134">
        <f>Finance!C21</f>
        <v>1610.6807639999997</v>
      </c>
      <c r="N146" s="134">
        <f>Finance!D21</f>
        <v>0</v>
      </c>
      <c r="O146" s="134">
        <f>Finance!E21</f>
        <v>0</v>
      </c>
      <c r="P146" s="134">
        <f>Finance!F21</f>
        <v>0</v>
      </c>
      <c r="Q146" s="134">
        <f>Finance!G21</f>
        <v>0</v>
      </c>
      <c r="R146" s="134">
        <f>Finance!H21</f>
        <v>9896.5037499999999</v>
      </c>
      <c r="S146" s="134">
        <f>Finance!I21</f>
        <v>0</v>
      </c>
      <c r="T146" s="134">
        <f>Finance!J21</f>
        <v>0</v>
      </c>
      <c r="U146" s="134">
        <f>Finance!K21</f>
        <v>0</v>
      </c>
      <c r="V146" s="134">
        <f>Finance!L21</f>
        <v>2092.2462959999998</v>
      </c>
      <c r="W146" s="134">
        <f>Finance!M21</f>
        <v>0</v>
      </c>
      <c r="X146" s="134">
        <f>Finance!N21</f>
        <v>0</v>
      </c>
      <c r="Y146" s="135">
        <f t="shared" si="26"/>
        <v>13599.43081</v>
      </c>
      <c r="Z146" s="113">
        <f t="shared" si="25"/>
        <v>0</v>
      </c>
      <c r="AA146" s="100">
        <f>+'General Fund'!Y146+'Road Fund'!Y146+'Lake Fund'!Y146+'Emergency Fund'!Y146-Y146</f>
        <v>0</v>
      </c>
    </row>
    <row r="147" spans="1:27" x14ac:dyDescent="0.25">
      <c r="A147" s="107"/>
      <c r="B147" s="107"/>
      <c r="C147" s="107"/>
      <c r="D147" s="107" t="s">
        <v>165</v>
      </c>
      <c r="E147" s="107"/>
      <c r="F147" s="107"/>
      <c r="G147" s="107"/>
      <c r="H147" s="118">
        <f>ROUND(SUM(H142:H146),5)</f>
        <v>73749.288509999998</v>
      </c>
      <c r="I147" s="118">
        <f t="shared" ref="I147:L147" si="31">ROUND(SUM(I142:I146),5)</f>
        <v>74289.277839999995</v>
      </c>
      <c r="J147" s="118">
        <f t="shared" si="31"/>
        <v>74837.367010000002</v>
      </c>
      <c r="K147" s="118">
        <f t="shared" si="31"/>
        <v>75393.677509999994</v>
      </c>
      <c r="L147" s="118">
        <f t="shared" si="31"/>
        <v>75958.332680000007</v>
      </c>
      <c r="M147" s="118">
        <f t="shared" ref="M147:Y147" si="32">ROUND(SUM(M142:M146),5)</f>
        <v>6623.1689100000003</v>
      </c>
      <c r="N147" s="118">
        <f t="shared" si="32"/>
        <v>5012.4881400000004</v>
      </c>
      <c r="O147" s="118">
        <f t="shared" si="32"/>
        <v>5012.4881400000004</v>
      </c>
      <c r="P147" s="118">
        <f t="shared" si="32"/>
        <v>5012.4881400000004</v>
      </c>
      <c r="Q147" s="118">
        <f t="shared" si="32"/>
        <v>5012.4881400000004</v>
      </c>
      <c r="R147" s="118">
        <f t="shared" si="32"/>
        <v>14908.991889999999</v>
      </c>
      <c r="S147" s="118">
        <f t="shared" si="32"/>
        <v>5012.4881400000004</v>
      </c>
      <c r="T147" s="118">
        <f t="shared" si="32"/>
        <v>5012.4881400000004</v>
      </c>
      <c r="U147" s="118">
        <f t="shared" si="32"/>
        <v>5012.4881400000004</v>
      </c>
      <c r="V147" s="118">
        <f t="shared" si="32"/>
        <v>7104.7344400000002</v>
      </c>
      <c r="W147" s="118">
        <f t="shared" si="32"/>
        <v>5012.4881400000004</v>
      </c>
      <c r="X147" s="118">
        <f t="shared" si="32"/>
        <v>5012.4881400000004</v>
      </c>
      <c r="Y147" s="118">
        <f t="shared" si="32"/>
        <v>73749.288509999998</v>
      </c>
      <c r="Z147" s="113">
        <f t="shared" si="25"/>
        <v>0</v>
      </c>
      <c r="AA147" s="109">
        <f>ROUND('General Fund'!Y147+'Road Fund'!Y147+'Lake Fund'!Y147+'Emergency Fund'!Y147-Y147,2)</f>
        <v>0</v>
      </c>
    </row>
    <row r="148" spans="1:27" x14ac:dyDescent="0.25">
      <c r="A148" s="107"/>
      <c r="B148" s="107"/>
      <c r="C148" s="107"/>
      <c r="D148" s="107" t="s">
        <v>107</v>
      </c>
      <c r="E148" s="107"/>
      <c r="F148" s="107"/>
      <c r="G148" s="107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30"/>
      <c r="AA148" s="100">
        <f>+'General Fund'!Y148+'Road Fund'!Y148+'Lake Fund'!Y148+'Emergency Fund'!Y148-Y148</f>
        <v>0</v>
      </c>
    </row>
    <row r="149" spans="1:27" x14ac:dyDescent="0.25">
      <c r="A149" s="107"/>
      <c r="B149" s="107"/>
      <c r="C149" s="107"/>
      <c r="D149" s="107"/>
      <c r="F149" s="132" t="s">
        <v>108</v>
      </c>
      <c r="G149" s="107"/>
      <c r="H149" s="133">
        <f>Security!M4</f>
        <v>7455.5</v>
      </c>
      <c r="I149" s="133">
        <f>Security!N4</f>
        <v>9339.5249999999996</v>
      </c>
      <c r="J149" s="133">
        <f>Security!O4</f>
        <v>10999.885</v>
      </c>
      <c r="K149" s="133">
        <f>Security!P4</f>
        <v>12660.245000000001</v>
      </c>
      <c r="L149" s="133">
        <f>Security!Q4</f>
        <v>14320.605</v>
      </c>
      <c r="M149" s="133">
        <f>Security!C11</f>
        <v>621.29166666666663</v>
      </c>
      <c r="N149" s="133">
        <f>Security!D11</f>
        <v>621.29166666666663</v>
      </c>
      <c r="O149" s="133">
        <f>Security!E11</f>
        <v>621.29166666666663</v>
      </c>
      <c r="P149" s="133">
        <f>Security!F11</f>
        <v>621.29166666666663</v>
      </c>
      <c r="Q149" s="133">
        <f>Security!G11</f>
        <v>621.29166666666663</v>
      </c>
      <c r="R149" s="133">
        <f>Security!H11</f>
        <v>621.29166666666663</v>
      </c>
      <c r="S149" s="133">
        <f>Security!I11</f>
        <v>621.29166666666663</v>
      </c>
      <c r="T149" s="133">
        <f>Security!J11</f>
        <v>621.29166666666663</v>
      </c>
      <c r="U149" s="133">
        <f>Security!K11</f>
        <v>621.29166666666663</v>
      </c>
      <c r="V149" s="133">
        <f>Security!L11</f>
        <v>621.29166666666663</v>
      </c>
      <c r="W149" s="133">
        <f>Security!M11</f>
        <v>621.29166666666663</v>
      </c>
      <c r="X149" s="133">
        <f>Security!N11</f>
        <v>621.29166666666663</v>
      </c>
      <c r="Y149" s="130">
        <f t="shared" si="26"/>
        <v>7455.5000000000009</v>
      </c>
      <c r="Z149" s="113">
        <f t="shared" si="25"/>
        <v>0</v>
      </c>
      <c r="AA149" s="100">
        <f>+'General Fund'!Y149+'Road Fund'!Y149+'Lake Fund'!Y149+'Emergency Fund'!Y149-Y149</f>
        <v>0</v>
      </c>
    </row>
    <row r="150" spans="1:27" ht="15.75" thickBot="1" x14ac:dyDescent="0.3">
      <c r="A150" s="107"/>
      <c r="B150" s="107"/>
      <c r="C150" s="107"/>
      <c r="D150" s="107"/>
      <c r="F150" s="132" t="s">
        <v>109</v>
      </c>
      <c r="G150" s="107"/>
      <c r="H150" s="134">
        <f>Security!M5</f>
        <v>0</v>
      </c>
      <c r="I150" s="134">
        <f>Security!N5</f>
        <v>0</v>
      </c>
      <c r="J150" s="134">
        <f>Security!O5</f>
        <v>0</v>
      </c>
      <c r="K150" s="134">
        <f>Security!P5</f>
        <v>0</v>
      </c>
      <c r="L150" s="134">
        <f>Security!Q5</f>
        <v>0</v>
      </c>
      <c r="M150" s="134">
        <f>Security!C12</f>
        <v>0</v>
      </c>
      <c r="N150" s="134">
        <f>Security!D12</f>
        <v>0</v>
      </c>
      <c r="O150" s="134">
        <f>Security!E12</f>
        <v>0</v>
      </c>
      <c r="P150" s="134">
        <f>Security!F12</f>
        <v>0</v>
      </c>
      <c r="Q150" s="134">
        <f>Security!G12</f>
        <v>0</v>
      </c>
      <c r="R150" s="134">
        <f>Security!H12</f>
        <v>0</v>
      </c>
      <c r="S150" s="134">
        <f>Security!I12</f>
        <v>0</v>
      </c>
      <c r="T150" s="134">
        <f>Security!J12</f>
        <v>0</v>
      </c>
      <c r="U150" s="134">
        <f>Security!K12</f>
        <v>0</v>
      </c>
      <c r="V150" s="134">
        <f>Security!L12</f>
        <v>0</v>
      </c>
      <c r="W150" s="134">
        <f>Security!M12</f>
        <v>0</v>
      </c>
      <c r="X150" s="134">
        <f>Security!N12</f>
        <v>0</v>
      </c>
      <c r="Y150" s="135">
        <f t="shared" si="26"/>
        <v>0</v>
      </c>
      <c r="Z150" s="113">
        <f t="shared" si="25"/>
        <v>0</v>
      </c>
      <c r="AA150" s="100">
        <f>+'General Fund'!Y150+'Road Fund'!Y150+'Lake Fund'!Y150+'Emergency Fund'!Y150-Y150</f>
        <v>0</v>
      </c>
    </row>
    <row r="151" spans="1:27" x14ac:dyDescent="0.25">
      <c r="A151" s="107"/>
      <c r="B151" s="107"/>
      <c r="C151" s="107"/>
      <c r="D151" s="107" t="s">
        <v>110</v>
      </c>
      <c r="E151" s="107"/>
      <c r="F151" s="107"/>
      <c r="G151" s="107"/>
      <c r="H151" s="118">
        <f>ROUND(SUM(H149:H150),5)</f>
        <v>7455.5</v>
      </c>
      <c r="I151" s="118">
        <f t="shared" ref="I151:L151" si="33">ROUND(SUM(I149:I150),5)</f>
        <v>9339.5249999999996</v>
      </c>
      <c r="J151" s="118">
        <f t="shared" si="33"/>
        <v>10999.885</v>
      </c>
      <c r="K151" s="118">
        <f t="shared" si="33"/>
        <v>12660.245000000001</v>
      </c>
      <c r="L151" s="118">
        <f t="shared" si="33"/>
        <v>14320.605</v>
      </c>
      <c r="M151" s="118">
        <f t="shared" ref="M151:Y151" si="34">ROUND(SUM(M149:M150),5)</f>
        <v>621.29166999999995</v>
      </c>
      <c r="N151" s="118">
        <f t="shared" si="34"/>
        <v>621.29166999999995</v>
      </c>
      <c r="O151" s="118">
        <f t="shared" si="34"/>
        <v>621.29166999999995</v>
      </c>
      <c r="P151" s="118">
        <f t="shared" si="34"/>
        <v>621.29166999999995</v>
      </c>
      <c r="Q151" s="118">
        <f t="shared" si="34"/>
        <v>621.29166999999995</v>
      </c>
      <c r="R151" s="118">
        <f t="shared" si="34"/>
        <v>621.29166999999995</v>
      </c>
      <c r="S151" s="118">
        <f t="shared" si="34"/>
        <v>621.29166999999995</v>
      </c>
      <c r="T151" s="118">
        <f t="shared" si="34"/>
        <v>621.29166999999995</v>
      </c>
      <c r="U151" s="118">
        <f t="shared" si="34"/>
        <v>621.29166999999995</v>
      </c>
      <c r="V151" s="118">
        <f t="shared" si="34"/>
        <v>621.29166999999995</v>
      </c>
      <c r="W151" s="118">
        <f t="shared" si="34"/>
        <v>621.29166999999995</v>
      </c>
      <c r="X151" s="118">
        <f t="shared" si="34"/>
        <v>621.29166999999995</v>
      </c>
      <c r="Y151" s="118">
        <f t="shared" si="34"/>
        <v>7455.5</v>
      </c>
      <c r="Z151" s="113">
        <f t="shared" si="25"/>
        <v>0</v>
      </c>
      <c r="AA151" s="100">
        <f>+'General Fund'!Y151+'Road Fund'!Y151+'Lake Fund'!Y151+'Emergency Fund'!Y151-Y151</f>
        <v>0</v>
      </c>
    </row>
    <row r="152" spans="1:27" x14ac:dyDescent="0.25">
      <c r="A152" s="107"/>
      <c r="B152" s="107"/>
      <c r="C152" s="107"/>
      <c r="E152" s="107"/>
      <c r="F152" s="107" t="s">
        <v>166</v>
      </c>
      <c r="G152" s="107"/>
      <c r="H152" s="118">
        <f>Finance!M9</f>
        <v>0</v>
      </c>
      <c r="I152" s="118">
        <f>Finance!N9</f>
        <v>0</v>
      </c>
      <c r="J152" s="118">
        <f>Finance!O9</f>
        <v>0</v>
      </c>
      <c r="K152" s="118">
        <f>Finance!P9</f>
        <v>0</v>
      </c>
      <c r="L152" s="118">
        <f>Finance!Q9</f>
        <v>0</v>
      </c>
      <c r="M152" s="133">
        <f>Finance!C22</f>
        <v>0</v>
      </c>
      <c r="N152" s="133">
        <f>Finance!D22</f>
        <v>0</v>
      </c>
      <c r="O152" s="133">
        <f>Finance!E22</f>
        <v>0</v>
      </c>
      <c r="P152" s="133">
        <f>Finance!F22</f>
        <v>0</v>
      </c>
      <c r="Q152" s="133">
        <f>Finance!G22</f>
        <v>0</v>
      </c>
      <c r="R152" s="133">
        <f>Finance!H22</f>
        <v>0</v>
      </c>
      <c r="S152" s="133">
        <f>Finance!I22</f>
        <v>0</v>
      </c>
      <c r="T152" s="133">
        <f>Finance!J22</f>
        <v>0</v>
      </c>
      <c r="U152" s="133">
        <f>Finance!K22</f>
        <v>0</v>
      </c>
      <c r="V152" s="133">
        <f>Finance!L22</f>
        <v>0</v>
      </c>
      <c r="W152" s="133">
        <f>Finance!M22</f>
        <v>0</v>
      </c>
      <c r="X152" s="133">
        <f>Finance!N22</f>
        <v>0</v>
      </c>
      <c r="Y152" s="130">
        <f t="shared" si="26"/>
        <v>0</v>
      </c>
      <c r="Z152" s="113">
        <f t="shared" si="25"/>
        <v>0</v>
      </c>
      <c r="AA152" s="100">
        <f>+'General Fund'!Y152+'Road Fund'!Y152+'Lake Fund'!Y152+'Emergency Fund'!Y152-Y152</f>
        <v>0</v>
      </c>
    </row>
    <row r="153" spans="1:27" x14ac:dyDescent="0.25">
      <c r="A153" s="107"/>
      <c r="B153" s="107"/>
      <c r="C153" s="107"/>
      <c r="E153" s="107"/>
      <c r="F153" s="107" t="s">
        <v>266</v>
      </c>
      <c r="G153" s="107"/>
      <c r="H153" s="118">
        <f>Finance!M10+'Emergency Fund'!H153</f>
        <v>0</v>
      </c>
      <c r="I153" s="118">
        <f>Finance!N10+'Emergency Fund'!I153</f>
        <v>0</v>
      </c>
      <c r="J153" s="118">
        <f>Finance!O10+'Emergency Fund'!J153</f>
        <v>0</v>
      </c>
      <c r="K153" s="118">
        <f>Finance!P10+'Emergency Fund'!K153</f>
        <v>0</v>
      </c>
      <c r="L153" s="118">
        <f>Finance!Q10+'Emergency Fund'!L153</f>
        <v>0</v>
      </c>
      <c r="M153" s="133">
        <f>Finance!C23+'Emergency Fund'!M153</f>
        <v>0</v>
      </c>
      <c r="N153" s="133">
        <f>Finance!D23+'Emergency Fund'!N153</f>
        <v>0</v>
      </c>
      <c r="O153" s="133">
        <f>Finance!E23+'Emergency Fund'!O153</f>
        <v>0</v>
      </c>
      <c r="P153" s="133">
        <f>Finance!F23+'Emergency Fund'!P153</f>
        <v>0</v>
      </c>
      <c r="Q153" s="133">
        <f>Finance!G23+'Emergency Fund'!Q153</f>
        <v>0</v>
      </c>
      <c r="R153" s="133">
        <f>Finance!H23+'Emergency Fund'!R153</f>
        <v>0</v>
      </c>
      <c r="S153" s="133">
        <f>Finance!I23+'Emergency Fund'!S153</f>
        <v>0</v>
      </c>
      <c r="T153" s="133">
        <f>Finance!J23+'Emergency Fund'!T153</f>
        <v>0</v>
      </c>
      <c r="U153" s="133">
        <f>Finance!K23+'Emergency Fund'!U153</f>
        <v>0</v>
      </c>
      <c r="V153" s="133">
        <f>Finance!L23+'Emergency Fund'!V153</f>
        <v>0</v>
      </c>
      <c r="W153" s="133">
        <f>Finance!M23+'Emergency Fund'!W153</f>
        <v>0</v>
      </c>
      <c r="X153" s="133">
        <f>Finance!N23+'Emergency Fund'!X153</f>
        <v>0</v>
      </c>
      <c r="Y153" s="130">
        <f t="shared" ref="Y153" si="35">SUM(M153:X153)</f>
        <v>0</v>
      </c>
      <c r="Z153" s="113">
        <f t="shared" ref="Z153" si="36">ROUND(Y153-H153,0)</f>
        <v>0</v>
      </c>
      <c r="AA153" s="100">
        <f>+'General Fund'!Y153+'Road Fund'!Y153+'Lake Fund'!Y153+'Emergency Fund'!Y153-Y153</f>
        <v>0</v>
      </c>
    </row>
    <row r="154" spans="1:27" ht="15.75" thickBot="1" x14ac:dyDescent="0.3">
      <c r="A154" s="107"/>
      <c r="B154" s="107"/>
      <c r="C154" s="107"/>
      <c r="E154" s="107"/>
      <c r="F154" s="107" t="s">
        <v>167</v>
      </c>
      <c r="G154" s="107"/>
      <c r="H154" s="133">
        <f>Finance!M11</f>
        <v>0</v>
      </c>
      <c r="I154" s="133">
        <f>Finance!N11</f>
        <v>0</v>
      </c>
      <c r="J154" s="133">
        <f>Finance!O11</f>
        <v>0</v>
      </c>
      <c r="K154" s="133">
        <f>Finance!P11</f>
        <v>0</v>
      </c>
      <c r="L154" s="133">
        <f>Finance!Q11</f>
        <v>0</v>
      </c>
      <c r="M154" s="134">
        <f>Finance!C24</f>
        <v>0</v>
      </c>
      <c r="N154" s="134">
        <f>Finance!D24</f>
        <v>0</v>
      </c>
      <c r="O154" s="134">
        <f>Finance!E24</f>
        <v>0</v>
      </c>
      <c r="P154" s="134">
        <f>Finance!F24</f>
        <v>0</v>
      </c>
      <c r="Q154" s="134">
        <f>Finance!G24</f>
        <v>0</v>
      </c>
      <c r="R154" s="134">
        <f>Finance!H24</f>
        <v>0</v>
      </c>
      <c r="S154" s="134">
        <f>Finance!I24</f>
        <v>0</v>
      </c>
      <c r="T154" s="134">
        <f>Finance!J24</f>
        <v>0</v>
      </c>
      <c r="U154" s="134">
        <f>Finance!K24</f>
        <v>0</v>
      </c>
      <c r="V154" s="134">
        <f>Finance!L24</f>
        <v>0</v>
      </c>
      <c r="W154" s="134">
        <f>Finance!M24</f>
        <v>0</v>
      </c>
      <c r="X154" s="134">
        <f>Finance!N24</f>
        <v>0</v>
      </c>
      <c r="Y154" s="130">
        <f t="shared" si="26"/>
        <v>0</v>
      </c>
      <c r="Z154" s="113">
        <f t="shared" si="25"/>
        <v>0</v>
      </c>
      <c r="AA154" s="100">
        <f>+'General Fund'!Y154+'Road Fund'!Y154+'Lake Fund'!Y154+'Emergency Fund'!Y154-Y154</f>
        <v>0</v>
      </c>
    </row>
    <row r="155" spans="1:27" ht="15.75" thickBot="1" x14ac:dyDescent="0.3">
      <c r="A155" s="107"/>
      <c r="B155" s="107"/>
      <c r="C155" s="107" t="s">
        <v>164</v>
      </c>
      <c r="D155" s="107"/>
      <c r="E155" s="107"/>
      <c r="F155" s="107"/>
      <c r="G155" s="107"/>
      <c r="H155" s="136">
        <f>ROUND(H140+H147+SUM(H151:H154),5)</f>
        <v>366752.11176</v>
      </c>
      <c r="I155" s="136">
        <f t="shared" ref="I155:L155" si="37">ROUND(I140+I147+SUM(I151:I154),5)</f>
        <v>452663.99478000001</v>
      </c>
      <c r="J155" s="136">
        <f t="shared" si="37"/>
        <v>345887.26215000002</v>
      </c>
      <c r="K155" s="136">
        <f t="shared" si="37"/>
        <v>407437.38084</v>
      </c>
      <c r="L155" s="136">
        <f t="shared" si="37"/>
        <v>344612.58257000003</v>
      </c>
      <c r="M155" s="136">
        <f t="shared" ref="M155:Y155" si="38">ROUND(M140+M147+SUM(M151:M154),5)</f>
        <v>18555.07085</v>
      </c>
      <c r="N155" s="136">
        <f t="shared" si="38"/>
        <v>16944.390080000001</v>
      </c>
      <c r="O155" s="136">
        <f t="shared" si="38"/>
        <v>16981.890080000001</v>
      </c>
      <c r="P155" s="136">
        <f t="shared" si="38"/>
        <v>18581.890080000001</v>
      </c>
      <c r="Q155" s="136">
        <f t="shared" si="38"/>
        <v>48866.890079999997</v>
      </c>
      <c r="R155" s="136">
        <f t="shared" si="38"/>
        <v>70023.393830000001</v>
      </c>
      <c r="S155" s="136">
        <f t="shared" si="38"/>
        <v>48266.890079999997</v>
      </c>
      <c r="T155" s="136">
        <f t="shared" si="38"/>
        <v>50066.890079999997</v>
      </c>
      <c r="U155" s="136">
        <f t="shared" si="38"/>
        <v>16766.890080000001</v>
      </c>
      <c r="V155" s="136">
        <f t="shared" si="38"/>
        <v>18759.13638</v>
      </c>
      <c r="W155" s="136">
        <f t="shared" si="38"/>
        <v>19364.390080000001</v>
      </c>
      <c r="X155" s="136">
        <f t="shared" si="38"/>
        <v>23574.390080000001</v>
      </c>
      <c r="Y155" s="136">
        <f t="shared" si="38"/>
        <v>366752.11174999998</v>
      </c>
      <c r="Z155" s="113">
        <f t="shared" si="25"/>
        <v>0</v>
      </c>
      <c r="AA155" s="100">
        <f>ROUND('General Fund'!Y155+'Road Fund'!Y155+'Lake Fund'!Y155+'Emergency Fund'!Y155-Y155,2)</f>
        <v>0</v>
      </c>
    </row>
    <row r="156" spans="1:27" ht="15.75" thickBot="1" x14ac:dyDescent="0.3">
      <c r="A156" s="107" t="s">
        <v>168</v>
      </c>
      <c r="B156" s="107"/>
      <c r="C156" s="107"/>
      <c r="D156" s="107"/>
      <c r="E156" s="107"/>
      <c r="F156" s="107"/>
      <c r="G156" s="107"/>
      <c r="H156" s="136">
        <f>ROUND(+H26-H155,5)</f>
        <v>-12953.34151</v>
      </c>
      <c r="I156" s="136">
        <f t="shared" ref="I156:L156" si="39">ROUND(+I26-I155,5)</f>
        <v>-93764.437980000002</v>
      </c>
      <c r="J156" s="136">
        <f t="shared" si="39"/>
        <v>18190.578010000001</v>
      </c>
      <c r="K156" s="136">
        <f t="shared" si="39"/>
        <v>-38104.613080000003</v>
      </c>
      <c r="L156" s="136">
        <f t="shared" si="39"/>
        <v>30054.921699999999</v>
      </c>
      <c r="M156" s="136">
        <f t="shared" ref="M156:Y156" si="40">ROUND(+M26-M155,5)</f>
        <v>229204.35623</v>
      </c>
      <c r="N156" s="136">
        <f t="shared" si="40"/>
        <v>-16597.55675</v>
      </c>
      <c r="O156" s="136">
        <f t="shared" si="40"/>
        <v>-16635.05675</v>
      </c>
      <c r="P156" s="136">
        <f t="shared" si="40"/>
        <v>-18235.05675</v>
      </c>
      <c r="Q156" s="136">
        <f t="shared" si="40"/>
        <v>-46107.306750000003</v>
      </c>
      <c r="R156" s="136">
        <f t="shared" si="40"/>
        <v>-67263.810500000007</v>
      </c>
      <c r="S156" s="136">
        <f t="shared" si="40"/>
        <v>6798.8506500000003</v>
      </c>
      <c r="T156" s="136">
        <f t="shared" si="40"/>
        <v>-47307.306750000003</v>
      </c>
      <c r="U156" s="136">
        <f t="shared" si="40"/>
        <v>-16420.05675</v>
      </c>
      <c r="V156" s="136">
        <f t="shared" si="40"/>
        <v>21854.716049999999</v>
      </c>
      <c r="W156" s="136">
        <f t="shared" si="40"/>
        <v>-19017.55675</v>
      </c>
      <c r="X156" s="136">
        <f t="shared" si="40"/>
        <v>-23227.55675</v>
      </c>
      <c r="Y156" s="136">
        <f t="shared" si="40"/>
        <v>-12953.341539999999</v>
      </c>
      <c r="Z156" s="113">
        <f t="shared" si="25"/>
        <v>0</v>
      </c>
      <c r="AA156" s="100">
        <f>ROUND('General Fund'!Y156+'Road Fund'!Y156+'Lake Fund'!Y156+'Emergency Fund'!Y156-Y156,2)</f>
        <v>0</v>
      </c>
    </row>
    <row r="157" spans="1:27" ht="15.75" thickBot="1" x14ac:dyDescent="0.3">
      <c r="A157" s="107"/>
      <c r="B157" s="107"/>
      <c r="C157" s="107"/>
      <c r="D157" s="107"/>
      <c r="E157" s="107"/>
      <c r="F157" s="107"/>
      <c r="G157" s="107"/>
      <c r="H157" s="137">
        <f>H156</f>
        <v>-12953.34151</v>
      </c>
      <c r="I157" s="137">
        <f t="shared" ref="I157:L157" si="41">I156</f>
        <v>-93764.437980000002</v>
      </c>
      <c r="J157" s="137">
        <f t="shared" si="41"/>
        <v>18190.578010000001</v>
      </c>
      <c r="K157" s="137">
        <f t="shared" si="41"/>
        <v>-38104.613080000003</v>
      </c>
      <c r="L157" s="137">
        <f t="shared" si="41"/>
        <v>30054.921699999999</v>
      </c>
      <c r="M157" s="137">
        <f t="shared" ref="M157:Y157" si="42">M156</f>
        <v>229204.35623</v>
      </c>
      <c r="N157" s="137">
        <f t="shared" si="42"/>
        <v>-16597.55675</v>
      </c>
      <c r="O157" s="137">
        <f t="shared" si="42"/>
        <v>-16635.05675</v>
      </c>
      <c r="P157" s="137">
        <f t="shared" si="42"/>
        <v>-18235.05675</v>
      </c>
      <c r="Q157" s="137">
        <f t="shared" si="42"/>
        <v>-46107.306750000003</v>
      </c>
      <c r="R157" s="137">
        <f t="shared" si="42"/>
        <v>-67263.810500000007</v>
      </c>
      <c r="S157" s="137">
        <f t="shared" si="42"/>
        <v>6798.8506500000003</v>
      </c>
      <c r="T157" s="137">
        <f t="shared" si="42"/>
        <v>-47307.306750000003</v>
      </c>
      <c r="U157" s="137">
        <f t="shared" si="42"/>
        <v>-16420.05675</v>
      </c>
      <c r="V157" s="137">
        <f t="shared" si="42"/>
        <v>21854.716049999999</v>
      </c>
      <c r="W157" s="137">
        <f t="shared" si="42"/>
        <v>-19017.55675</v>
      </c>
      <c r="X157" s="137">
        <f t="shared" si="42"/>
        <v>-23227.55675</v>
      </c>
      <c r="Y157" s="137">
        <f t="shared" si="42"/>
        <v>-12953.341539999999</v>
      </c>
      <c r="Z157" s="113">
        <f t="shared" si="25"/>
        <v>0</v>
      </c>
      <c r="AA157" s="100">
        <f>ROUND('General Fund'!Y157+'Road Fund'!Y157+'Lake Fund'!Y157+'Emergency Fund'!Y157-Y157,2)</f>
        <v>0</v>
      </c>
    </row>
    <row r="158" spans="1:27" ht="15.75" thickTop="1" x14ac:dyDescent="0.25"/>
  </sheetData>
  <sheetProtection password="CC20" sheet="1" objects="1" scenarios="1"/>
  <mergeCells count="2">
    <mergeCell ref="M2:Y2"/>
    <mergeCell ref="H2:L2"/>
  </mergeCells>
  <pageMargins left="0.7" right="0.7" top="0.75" bottom="0.75" header="0.3" footer="0.3"/>
  <pageSetup scale="70" orientation="landscape" r:id="rId1"/>
  <ignoredErrors>
    <ignoredError sqref="Y25 Y82 Y139 Y151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AA158"/>
  <sheetViews>
    <sheetView zoomScaleNormal="100" workbookViewId="0">
      <pane xSplit="12" ySplit="4" topLeftCell="M5" activePane="bottomRight" state="frozen"/>
      <selection sqref="A1:XFD1048576"/>
      <selection pane="topRight" sqref="A1:XFD1048576"/>
      <selection pane="bottomLeft" sqref="A1:XFD1048576"/>
      <selection pane="bottomRight" activeCell="M5" sqref="M5"/>
    </sheetView>
  </sheetViews>
  <sheetFormatPr defaultRowHeight="15" outlineLevelCol="1" x14ac:dyDescent="0.25"/>
  <cols>
    <col min="1" max="6" width="3" style="119" customWidth="1"/>
    <col min="7" max="7" width="30.140625" style="119" customWidth="1"/>
    <col min="8" max="12" width="15.140625" style="138" hidden="1" customWidth="1" outlineLevel="1"/>
    <col min="13" max="13" width="10.140625" style="109" customWidth="1" collapsed="1"/>
    <col min="14" max="14" width="10.5703125" style="109" customWidth="1"/>
    <col min="15" max="24" width="9.28515625" style="109" bestFit="1" customWidth="1"/>
    <col min="25" max="25" width="12.7109375" style="109" bestFit="1" customWidth="1"/>
    <col min="26" max="26" width="11.28515625" style="113" hidden="1" customWidth="1"/>
    <col min="27" max="16384" width="9.140625" style="94"/>
  </cols>
  <sheetData>
    <row r="1" spans="1:27" ht="15.75" thickBot="1" x14ac:dyDescent="0.3">
      <c r="A1" s="107"/>
      <c r="B1" s="107"/>
      <c r="C1" s="107"/>
      <c r="D1" s="107"/>
      <c r="E1" s="107"/>
      <c r="F1" s="107"/>
      <c r="G1" s="144" t="s">
        <v>269</v>
      </c>
      <c r="H1" s="109"/>
      <c r="I1" s="109"/>
      <c r="J1" s="109"/>
      <c r="K1" s="109"/>
      <c r="L1" s="109"/>
      <c r="N1" s="110"/>
      <c r="O1" s="111"/>
      <c r="Q1" s="110"/>
      <c r="R1" s="112"/>
    </row>
    <row r="2" spans="1:27" ht="16.5" thickBot="1" x14ac:dyDescent="0.35">
      <c r="A2" s="114"/>
      <c r="B2" s="114"/>
      <c r="C2" s="114"/>
      <c r="D2" s="114"/>
      <c r="E2" s="114"/>
      <c r="F2" s="114"/>
      <c r="G2" s="114"/>
      <c r="H2" s="115" t="s">
        <v>239</v>
      </c>
      <c r="I2" s="116"/>
      <c r="J2" s="116"/>
      <c r="K2" s="116"/>
      <c r="L2" s="117"/>
      <c r="M2" s="115" t="str">
        <f>'Master Input Tab'!$B$2&amp;" Budget"</f>
        <v>2014 Budget</v>
      </c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</row>
    <row r="3" spans="1:27" x14ac:dyDescent="0.25">
      <c r="A3" s="107"/>
      <c r="B3" s="107"/>
      <c r="C3" s="107"/>
      <c r="D3" s="107"/>
      <c r="E3" s="107"/>
      <c r="F3" s="107"/>
      <c r="G3" s="107"/>
      <c r="H3" s="118"/>
      <c r="I3" s="118"/>
      <c r="J3" s="118"/>
      <c r="K3" s="118"/>
      <c r="L3" s="118"/>
    </row>
    <row r="4" spans="1:27" ht="15.75" thickBot="1" x14ac:dyDescent="0.3">
      <c r="A4" s="107"/>
      <c r="B4" s="107"/>
      <c r="D4" s="107"/>
      <c r="E4" s="107"/>
      <c r="F4" s="107"/>
      <c r="G4" s="107"/>
      <c r="H4" s="102" t="str">
        <f>'Total Summary'!$H$4</f>
        <v>2014</v>
      </c>
      <c r="I4" s="102">
        <f>'Total Summary'!$I$4</f>
        <v>2015</v>
      </c>
      <c r="J4" s="102">
        <f>'Total Summary'!$J$4</f>
        <v>2016</v>
      </c>
      <c r="K4" s="102">
        <f>'Total Summary'!$K$4</f>
        <v>2017</v>
      </c>
      <c r="L4" s="102">
        <f>'Total Summary'!$L$4</f>
        <v>2018</v>
      </c>
      <c r="M4" s="121" t="s">
        <v>120</v>
      </c>
      <c r="N4" s="121" t="s">
        <v>121</v>
      </c>
      <c r="O4" s="121" t="s">
        <v>122</v>
      </c>
      <c r="P4" s="121" t="s">
        <v>129</v>
      </c>
      <c r="Q4" s="121" t="s">
        <v>130</v>
      </c>
      <c r="R4" s="121" t="s">
        <v>31</v>
      </c>
      <c r="S4" s="121" t="s">
        <v>24</v>
      </c>
      <c r="T4" s="121" t="s">
        <v>26</v>
      </c>
      <c r="U4" s="121" t="s">
        <v>27</v>
      </c>
      <c r="V4" s="121" t="s">
        <v>25</v>
      </c>
      <c r="W4" s="121" t="s">
        <v>28</v>
      </c>
      <c r="X4" s="121" t="s">
        <v>29</v>
      </c>
      <c r="Y4" s="122">
        <f>'Master Input Tab'!$B$2</f>
        <v>2014</v>
      </c>
      <c r="Z4" s="123" t="s">
        <v>131</v>
      </c>
      <c r="AA4" s="145"/>
    </row>
    <row r="5" spans="1:27" ht="16.5" customHeight="1" x14ac:dyDescent="0.25">
      <c r="A5" s="107"/>
      <c r="B5" s="107"/>
      <c r="C5" s="107" t="s">
        <v>138</v>
      </c>
      <c r="D5" s="107"/>
      <c r="E5" s="107"/>
      <c r="F5" s="107"/>
      <c r="G5" s="107"/>
      <c r="H5" s="125"/>
      <c r="I5" s="125"/>
      <c r="J5" s="125"/>
      <c r="K5" s="125"/>
      <c r="L5" s="125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7"/>
      <c r="Z5" s="128"/>
    </row>
    <row r="6" spans="1:27" x14ac:dyDescent="0.25">
      <c r="A6" s="107"/>
      <c r="B6" s="107"/>
      <c r="C6" s="107"/>
      <c r="E6" s="107"/>
      <c r="F6" s="107" t="s">
        <v>139</v>
      </c>
      <c r="G6" s="107"/>
      <c r="H6" s="118">
        <f>Revenue!M4</f>
        <v>247412.59374999997</v>
      </c>
      <c r="I6" s="118">
        <f>Revenue!N4</f>
        <v>251123.78265624994</v>
      </c>
      <c r="J6" s="118">
        <f>Revenue!O4</f>
        <v>254890.63939609367</v>
      </c>
      <c r="K6" s="118">
        <f>Revenue!P4</f>
        <v>258713.99898703504</v>
      </c>
      <c r="L6" s="118">
        <f>Revenue!Q4</f>
        <v>262594.70897184056</v>
      </c>
      <c r="M6" s="118">
        <f>Revenue!C30</f>
        <v>247412.59374999997</v>
      </c>
      <c r="N6" s="118">
        <f>Revenue!D30</f>
        <v>0</v>
      </c>
      <c r="O6" s="118">
        <f>Revenue!E30</f>
        <v>0</v>
      </c>
      <c r="P6" s="118">
        <f>Revenue!F30</f>
        <v>0</v>
      </c>
      <c r="Q6" s="118">
        <f>Revenue!G30</f>
        <v>0</v>
      </c>
      <c r="R6" s="118">
        <f>Revenue!H30</f>
        <v>0</v>
      </c>
      <c r="S6" s="118">
        <f>Revenue!I30</f>
        <v>0</v>
      </c>
      <c r="T6" s="118">
        <f>Revenue!J30</f>
        <v>0</v>
      </c>
      <c r="U6" s="118">
        <f>Revenue!K30</f>
        <v>0</v>
      </c>
      <c r="V6" s="118">
        <f>Revenue!L30</f>
        <v>0</v>
      </c>
      <c r="W6" s="118">
        <f>Revenue!M30</f>
        <v>0</v>
      </c>
      <c r="X6" s="118">
        <f>Revenue!N30</f>
        <v>0</v>
      </c>
      <c r="Y6" s="130">
        <f>SUM(M6:X6)</f>
        <v>247412.59374999997</v>
      </c>
      <c r="Z6" s="113">
        <f>ROUND(Y6-H6,0)</f>
        <v>0</v>
      </c>
    </row>
    <row r="7" spans="1:27" x14ac:dyDescent="0.25">
      <c r="A7" s="107"/>
      <c r="B7" s="107"/>
      <c r="C7" s="107"/>
      <c r="E7" s="107"/>
      <c r="F7" s="107" t="s">
        <v>140</v>
      </c>
      <c r="G7" s="107"/>
      <c r="H7" s="118">
        <f>Revenue!M5</f>
        <v>2250</v>
      </c>
      <c r="I7" s="118">
        <f>Revenue!N5</f>
        <v>2250</v>
      </c>
      <c r="J7" s="118">
        <f>Revenue!O5</f>
        <v>2250</v>
      </c>
      <c r="K7" s="118">
        <f>Revenue!P5</f>
        <v>2250</v>
      </c>
      <c r="L7" s="118">
        <f>Revenue!Q5</f>
        <v>2250</v>
      </c>
      <c r="M7" s="118">
        <f>Revenue!C31</f>
        <v>187.5</v>
      </c>
      <c r="N7" s="118">
        <f>Revenue!D31</f>
        <v>187.5</v>
      </c>
      <c r="O7" s="118">
        <f>Revenue!E31</f>
        <v>187.5</v>
      </c>
      <c r="P7" s="118">
        <f>Revenue!F31</f>
        <v>187.5</v>
      </c>
      <c r="Q7" s="118">
        <f>Revenue!G31</f>
        <v>187.5</v>
      </c>
      <c r="R7" s="118">
        <f>Revenue!H31</f>
        <v>187.5</v>
      </c>
      <c r="S7" s="118">
        <f>Revenue!I31</f>
        <v>187.5</v>
      </c>
      <c r="T7" s="118">
        <f>Revenue!J31</f>
        <v>187.5</v>
      </c>
      <c r="U7" s="118">
        <f>Revenue!K31</f>
        <v>187.5</v>
      </c>
      <c r="V7" s="118">
        <f>Revenue!L31</f>
        <v>187.5</v>
      </c>
      <c r="W7" s="118">
        <f>Revenue!M31</f>
        <v>187.5</v>
      </c>
      <c r="X7" s="118">
        <f>Revenue!N31</f>
        <v>187.5</v>
      </c>
      <c r="Y7" s="130">
        <f t="shared" ref="Y7:Y70" si="0">SUM(M7:X7)</f>
        <v>2250</v>
      </c>
      <c r="Z7" s="113">
        <f t="shared" ref="Z7:Z26" si="1">ROUND(Y7-H7,0)</f>
        <v>0</v>
      </c>
    </row>
    <row r="8" spans="1:27" x14ac:dyDescent="0.25">
      <c r="A8" s="107"/>
      <c r="B8" s="107"/>
      <c r="C8" s="107"/>
      <c r="E8" s="107"/>
      <c r="F8" s="107" t="s">
        <v>141</v>
      </c>
      <c r="G8" s="107"/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118">
        <v>0</v>
      </c>
      <c r="T8" s="118">
        <v>0</v>
      </c>
      <c r="U8" s="118">
        <v>0</v>
      </c>
      <c r="V8" s="118">
        <v>0</v>
      </c>
      <c r="W8" s="118">
        <v>0</v>
      </c>
      <c r="X8" s="118">
        <v>0</v>
      </c>
      <c r="Y8" s="130">
        <f t="shared" si="0"/>
        <v>0</v>
      </c>
      <c r="Z8" s="113">
        <f t="shared" si="1"/>
        <v>0</v>
      </c>
    </row>
    <row r="9" spans="1:27" x14ac:dyDescent="0.25">
      <c r="A9" s="107"/>
      <c r="B9" s="107"/>
      <c r="C9" s="107"/>
      <c r="E9" s="107"/>
      <c r="F9" s="107" t="s">
        <v>142</v>
      </c>
      <c r="G9" s="107"/>
      <c r="H9" s="118">
        <f>Revenue!M7</f>
        <v>0</v>
      </c>
      <c r="I9" s="118">
        <f>Revenue!N7</f>
        <v>0</v>
      </c>
      <c r="J9" s="118">
        <f>Revenue!O7</f>
        <v>0</v>
      </c>
      <c r="K9" s="118">
        <f>Revenue!P7</f>
        <v>0</v>
      </c>
      <c r="L9" s="118">
        <f>Revenue!Q7</f>
        <v>0</v>
      </c>
      <c r="M9" s="118">
        <f>Revenue!C33</f>
        <v>0</v>
      </c>
      <c r="N9" s="118">
        <f>Revenue!D33</f>
        <v>0</v>
      </c>
      <c r="O9" s="118">
        <f>Revenue!E33</f>
        <v>0</v>
      </c>
      <c r="P9" s="118">
        <f>Revenue!F33</f>
        <v>0</v>
      </c>
      <c r="Q9" s="118">
        <f>Revenue!G33</f>
        <v>0</v>
      </c>
      <c r="R9" s="118">
        <f>Revenue!H33</f>
        <v>0</v>
      </c>
      <c r="S9" s="118">
        <f>Revenue!I33</f>
        <v>0</v>
      </c>
      <c r="T9" s="118">
        <f>Revenue!J33</f>
        <v>0</v>
      </c>
      <c r="U9" s="118">
        <f>Revenue!K33</f>
        <v>0</v>
      </c>
      <c r="V9" s="118">
        <f>Revenue!L33</f>
        <v>0</v>
      </c>
      <c r="W9" s="118">
        <f>Revenue!M33</f>
        <v>0</v>
      </c>
      <c r="X9" s="118">
        <f>Revenue!N33</f>
        <v>0</v>
      </c>
      <c r="Y9" s="130">
        <f t="shared" si="0"/>
        <v>0</v>
      </c>
      <c r="Z9" s="113">
        <f t="shared" si="1"/>
        <v>0</v>
      </c>
    </row>
    <row r="10" spans="1:27" x14ac:dyDescent="0.25">
      <c r="A10" s="107"/>
      <c r="B10" s="107"/>
      <c r="C10" s="107"/>
      <c r="E10" s="107"/>
      <c r="F10" s="107" t="s">
        <v>143</v>
      </c>
      <c r="G10" s="107"/>
      <c r="H10" s="118">
        <f>Revenue!M8</f>
        <v>0</v>
      </c>
      <c r="I10" s="118">
        <f>Revenue!N8</f>
        <v>0</v>
      </c>
      <c r="J10" s="118">
        <f>Revenue!O8</f>
        <v>0</v>
      </c>
      <c r="K10" s="118">
        <f>Revenue!P8</f>
        <v>0</v>
      </c>
      <c r="L10" s="118">
        <f>Revenue!Q8</f>
        <v>0</v>
      </c>
      <c r="M10" s="118">
        <f>Revenue!C34</f>
        <v>0</v>
      </c>
      <c r="N10" s="118">
        <f>Revenue!D34</f>
        <v>0</v>
      </c>
      <c r="O10" s="118">
        <f>Revenue!E34</f>
        <v>0</v>
      </c>
      <c r="P10" s="118">
        <f>Revenue!F34</f>
        <v>0</v>
      </c>
      <c r="Q10" s="118">
        <f>Revenue!G34</f>
        <v>0</v>
      </c>
      <c r="R10" s="118">
        <f>Revenue!H34</f>
        <v>0</v>
      </c>
      <c r="S10" s="118">
        <f>Revenue!I34</f>
        <v>0</v>
      </c>
      <c r="T10" s="118">
        <f>Revenue!J34</f>
        <v>0</v>
      </c>
      <c r="U10" s="118">
        <f>Revenue!K34</f>
        <v>0</v>
      </c>
      <c r="V10" s="118">
        <f>Revenue!L34</f>
        <v>0</v>
      </c>
      <c r="W10" s="118">
        <f>Revenue!M34</f>
        <v>0</v>
      </c>
      <c r="X10" s="118">
        <f>Revenue!N34</f>
        <v>0</v>
      </c>
      <c r="Y10" s="130">
        <f t="shared" si="0"/>
        <v>0</v>
      </c>
      <c r="Z10" s="113">
        <f t="shared" si="1"/>
        <v>0</v>
      </c>
    </row>
    <row r="11" spans="1:27" x14ac:dyDescent="0.25">
      <c r="A11" s="107"/>
      <c r="B11" s="107"/>
      <c r="C11" s="107"/>
      <c r="E11" s="107"/>
      <c r="F11" s="107" t="s">
        <v>144</v>
      </c>
      <c r="G11" s="107"/>
      <c r="H11" s="118">
        <f>Revenue!M9</f>
        <v>0</v>
      </c>
      <c r="I11" s="118">
        <f>Revenue!N9</f>
        <v>0</v>
      </c>
      <c r="J11" s="118">
        <f>Revenue!O9</f>
        <v>0</v>
      </c>
      <c r="K11" s="118">
        <f>Revenue!P9</f>
        <v>0</v>
      </c>
      <c r="L11" s="118">
        <f>Revenue!Q9</f>
        <v>0</v>
      </c>
      <c r="M11" s="118">
        <f>Revenue!C35</f>
        <v>0</v>
      </c>
      <c r="N11" s="118">
        <f>Revenue!D35</f>
        <v>0</v>
      </c>
      <c r="O11" s="118">
        <f>Revenue!E35</f>
        <v>0</v>
      </c>
      <c r="P11" s="118">
        <f>Revenue!F35</f>
        <v>0</v>
      </c>
      <c r="Q11" s="118">
        <f>Revenue!G35</f>
        <v>0</v>
      </c>
      <c r="R11" s="118">
        <f>Revenue!H35</f>
        <v>0</v>
      </c>
      <c r="S11" s="118">
        <f>Revenue!I35</f>
        <v>0</v>
      </c>
      <c r="T11" s="118">
        <f>Revenue!J35</f>
        <v>0</v>
      </c>
      <c r="U11" s="118">
        <f>Revenue!K35</f>
        <v>0</v>
      </c>
      <c r="V11" s="118">
        <f>Revenue!L35</f>
        <v>0</v>
      </c>
      <c r="W11" s="118">
        <f>Revenue!M35</f>
        <v>0</v>
      </c>
      <c r="X11" s="118">
        <f>Revenue!N35</f>
        <v>0</v>
      </c>
      <c r="Y11" s="130">
        <f t="shared" si="0"/>
        <v>0</v>
      </c>
      <c r="Z11" s="113">
        <f t="shared" si="1"/>
        <v>0</v>
      </c>
    </row>
    <row r="12" spans="1:27" x14ac:dyDescent="0.25">
      <c r="A12" s="107"/>
      <c r="B12" s="107"/>
      <c r="C12" s="107"/>
      <c r="E12" s="107"/>
      <c r="F12" s="107" t="s">
        <v>145</v>
      </c>
      <c r="G12" s="107"/>
      <c r="H12" s="118">
        <f>Revenue!M10</f>
        <v>1250</v>
      </c>
      <c r="I12" s="118">
        <f>Revenue!N10</f>
        <v>1250</v>
      </c>
      <c r="J12" s="118">
        <f>Revenue!O10</f>
        <v>1250</v>
      </c>
      <c r="K12" s="118">
        <f>Revenue!P10</f>
        <v>1250</v>
      </c>
      <c r="L12" s="118">
        <f>Revenue!Q10</f>
        <v>1250</v>
      </c>
      <c r="M12" s="118">
        <f>Revenue!C36</f>
        <v>0</v>
      </c>
      <c r="N12" s="118">
        <f>Revenue!D36</f>
        <v>0</v>
      </c>
      <c r="O12" s="118">
        <f>Revenue!E36</f>
        <v>0</v>
      </c>
      <c r="P12" s="118">
        <f>Revenue!F36</f>
        <v>0</v>
      </c>
      <c r="Q12" s="118">
        <f>Revenue!G36</f>
        <v>312.5</v>
      </c>
      <c r="R12" s="118">
        <f>Revenue!H36</f>
        <v>312.5</v>
      </c>
      <c r="S12" s="118">
        <f>Revenue!I36</f>
        <v>312.5</v>
      </c>
      <c r="T12" s="118">
        <f>Revenue!J36</f>
        <v>312.5</v>
      </c>
      <c r="U12" s="118">
        <f>Revenue!K36</f>
        <v>0</v>
      </c>
      <c r="V12" s="118">
        <f>Revenue!L36</f>
        <v>0</v>
      </c>
      <c r="W12" s="118">
        <f>Revenue!M36</f>
        <v>0</v>
      </c>
      <c r="X12" s="118">
        <f>Revenue!N36</f>
        <v>0</v>
      </c>
      <c r="Y12" s="130">
        <f t="shared" si="0"/>
        <v>1250</v>
      </c>
      <c r="Z12" s="113">
        <f t="shared" si="1"/>
        <v>0</v>
      </c>
    </row>
    <row r="13" spans="1:27" x14ac:dyDescent="0.25">
      <c r="A13" s="107"/>
      <c r="B13" s="107"/>
      <c r="C13" s="107"/>
      <c r="E13" s="107"/>
      <c r="F13" s="107" t="s">
        <v>146</v>
      </c>
      <c r="G13" s="107"/>
      <c r="H13" s="118">
        <f>Revenue!M11</f>
        <v>4650</v>
      </c>
      <c r="I13" s="118">
        <f>Revenue!N11</f>
        <v>4650</v>
      </c>
      <c r="J13" s="118">
        <f>Revenue!O11</f>
        <v>4650</v>
      </c>
      <c r="K13" s="118">
        <f>Revenue!P11</f>
        <v>4650</v>
      </c>
      <c r="L13" s="118">
        <f>Revenue!Q11</f>
        <v>4650</v>
      </c>
      <c r="M13" s="118">
        <f>Revenue!C37</f>
        <v>0</v>
      </c>
      <c r="N13" s="118">
        <f>Revenue!D37</f>
        <v>0</v>
      </c>
      <c r="O13" s="118">
        <f>Revenue!E37</f>
        <v>0</v>
      </c>
      <c r="P13" s="118">
        <f>Revenue!F37</f>
        <v>0</v>
      </c>
      <c r="Q13" s="118">
        <f>Revenue!G37</f>
        <v>1162.5</v>
      </c>
      <c r="R13" s="118">
        <f>Revenue!H37</f>
        <v>1162.5</v>
      </c>
      <c r="S13" s="118">
        <f>Revenue!I37</f>
        <v>1162.5</v>
      </c>
      <c r="T13" s="118">
        <f>Revenue!J37</f>
        <v>1162.5</v>
      </c>
      <c r="U13" s="118">
        <f>Revenue!K37</f>
        <v>0</v>
      </c>
      <c r="V13" s="118">
        <f>Revenue!L37</f>
        <v>0</v>
      </c>
      <c r="W13" s="118">
        <f>Revenue!M37</f>
        <v>0</v>
      </c>
      <c r="X13" s="118">
        <f>Revenue!N37</f>
        <v>0</v>
      </c>
      <c r="Y13" s="130">
        <f t="shared" si="0"/>
        <v>4650</v>
      </c>
      <c r="Z13" s="113">
        <f t="shared" si="1"/>
        <v>0</v>
      </c>
    </row>
    <row r="14" spans="1:27" x14ac:dyDescent="0.25">
      <c r="A14" s="107"/>
      <c r="B14" s="107"/>
      <c r="C14" s="107"/>
      <c r="E14" s="107"/>
      <c r="F14" s="107" t="s">
        <v>147</v>
      </c>
      <c r="G14" s="107"/>
      <c r="H14" s="118">
        <f>Revenue!M12</f>
        <v>300</v>
      </c>
      <c r="I14" s="118">
        <f>Revenue!N12</f>
        <v>300</v>
      </c>
      <c r="J14" s="118">
        <f>Revenue!O12</f>
        <v>300</v>
      </c>
      <c r="K14" s="118">
        <f>Revenue!P12</f>
        <v>300</v>
      </c>
      <c r="L14" s="118">
        <f>Revenue!Q12</f>
        <v>300</v>
      </c>
      <c r="M14" s="118">
        <f>Revenue!C38</f>
        <v>0</v>
      </c>
      <c r="N14" s="118">
        <f>Revenue!D38</f>
        <v>0</v>
      </c>
      <c r="O14" s="118">
        <f>Revenue!E38</f>
        <v>0</v>
      </c>
      <c r="P14" s="118">
        <f>Revenue!F38</f>
        <v>0</v>
      </c>
      <c r="Q14" s="118">
        <f>Revenue!G38</f>
        <v>75</v>
      </c>
      <c r="R14" s="118">
        <f>Revenue!H38</f>
        <v>75</v>
      </c>
      <c r="S14" s="118">
        <f>Revenue!I38</f>
        <v>75</v>
      </c>
      <c r="T14" s="118">
        <f>Revenue!J38</f>
        <v>75</v>
      </c>
      <c r="U14" s="118">
        <f>Revenue!K38</f>
        <v>0</v>
      </c>
      <c r="V14" s="118">
        <f>Revenue!L38</f>
        <v>0</v>
      </c>
      <c r="W14" s="118">
        <f>Revenue!M38</f>
        <v>0</v>
      </c>
      <c r="X14" s="118">
        <f>Revenue!N38</f>
        <v>0</v>
      </c>
      <c r="Y14" s="130">
        <f t="shared" si="0"/>
        <v>300</v>
      </c>
      <c r="Z14" s="113">
        <f t="shared" si="1"/>
        <v>0</v>
      </c>
    </row>
    <row r="15" spans="1:27" x14ac:dyDescent="0.25">
      <c r="A15" s="107"/>
      <c r="B15" s="107"/>
      <c r="C15" s="107"/>
      <c r="E15" s="107"/>
      <c r="F15" s="107" t="s">
        <v>148</v>
      </c>
      <c r="G15" s="107"/>
      <c r="H15" s="118">
        <f>Revenue!M13</f>
        <v>1000</v>
      </c>
      <c r="I15" s="118">
        <f>Revenue!N13</f>
        <v>1000</v>
      </c>
      <c r="J15" s="118">
        <f>Revenue!O13</f>
        <v>1000</v>
      </c>
      <c r="K15" s="118">
        <f>Revenue!P13</f>
        <v>1000</v>
      </c>
      <c r="L15" s="118">
        <f>Revenue!Q13</f>
        <v>1000</v>
      </c>
      <c r="M15" s="118">
        <f>Revenue!C39</f>
        <v>83.333333333333329</v>
      </c>
      <c r="N15" s="118">
        <f>Revenue!D39</f>
        <v>83.333333333333329</v>
      </c>
      <c r="O15" s="118">
        <f>Revenue!E39</f>
        <v>83.333333333333329</v>
      </c>
      <c r="P15" s="118">
        <f>Revenue!F39</f>
        <v>83.333333333333329</v>
      </c>
      <c r="Q15" s="118">
        <f>Revenue!G39</f>
        <v>83.333333333333329</v>
      </c>
      <c r="R15" s="118">
        <f>Revenue!H39</f>
        <v>83.333333333333329</v>
      </c>
      <c r="S15" s="118">
        <f>Revenue!I39</f>
        <v>83.333333333333329</v>
      </c>
      <c r="T15" s="118">
        <f>Revenue!J39</f>
        <v>83.333333333333329</v>
      </c>
      <c r="U15" s="118">
        <f>Revenue!K39</f>
        <v>83.333333333333329</v>
      </c>
      <c r="V15" s="118">
        <f>Revenue!L39</f>
        <v>83.333333333333329</v>
      </c>
      <c r="W15" s="118">
        <f>Revenue!M39</f>
        <v>83.333333333333329</v>
      </c>
      <c r="X15" s="118">
        <f>Revenue!N39</f>
        <v>83.333333333333329</v>
      </c>
      <c r="Y15" s="130">
        <f t="shared" si="0"/>
        <v>1000.0000000000001</v>
      </c>
      <c r="Z15" s="113">
        <f t="shared" si="1"/>
        <v>0</v>
      </c>
    </row>
    <row r="16" spans="1:27" x14ac:dyDescent="0.25">
      <c r="A16" s="107"/>
      <c r="B16" s="107"/>
      <c r="C16" s="107"/>
      <c r="E16" s="107"/>
      <c r="F16" s="107" t="s">
        <v>149</v>
      </c>
      <c r="G16" s="107"/>
      <c r="H16" s="118">
        <f>Revenue!M14</f>
        <v>0</v>
      </c>
      <c r="I16" s="118">
        <f>Revenue!N14</f>
        <v>0</v>
      </c>
      <c r="J16" s="118">
        <f>Revenue!O14</f>
        <v>0</v>
      </c>
      <c r="K16" s="118">
        <f>Revenue!P14</f>
        <v>0</v>
      </c>
      <c r="L16" s="118">
        <f>Revenue!Q14</f>
        <v>0</v>
      </c>
      <c r="M16" s="118">
        <f>Revenue!C40</f>
        <v>0</v>
      </c>
      <c r="N16" s="118">
        <f>Revenue!D40</f>
        <v>0</v>
      </c>
      <c r="O16" s="118">
        <f>Revenue!E40</f>
        <v>0</v>
      </c>
      <c r="P16" s="118">
        <f>Revenue!F40</f>
        <v>0</v>
      </c>
      <c r="Q16" s="118">
        <f>Revenue!G40</f>
        <v>0</v>
      </c>
      <c r="R16" s="118">
        <f>Revenue!H40</f>
        <v>0</v>
      </c>
      <c r="S16" s="118">
        <f>Revenue!I40</f>
        <v>0</v>
      </c>
      <c r="T16" s="118">
        <f>Revenue!J40</f>
        <v>0</v>
      </c>
      <c r="U16" s="118">
        <f>Revenue!K40</f>
        <v>0</v>
      </c>
      <c r="V16" s="118">
        <f>Revenue!L40</f>
        <v>0</v>
      </c>
      <c r="W16" s="118">
        <f>Revenue!M40</f>
        <v>0</v>
      </c>
      <c r="X16" s="118">
        <f>Revenue!N40</f>
        <v>0</v>
      </c>
      <c r="Y16" s="130">
        <f t="shared" si="0"/>
        <v>0</v>
      </c>
      <c r="Z16" s="113">
        <f t="shared" si="1"/>
        <v>0</v>
      </c>
    </row>
    <row r="17" spans="1:26" x14ac:dyDescent="0.25">
      <c r="A17" s="107"/>
      <c r="B17" s="107"/>
      <c r="C17" s="107"/>
      <c r="E17" s="107"/>
      <c r="F17" s="107" t="s">
        <v>150</v>
      </c>
      <c r="G17" s="107"/>
      <c r="H17" s="118">
        <f>Revenue!M15</f>
        <v>600</v>
      </c>
      <c r="I17" s="118">
        <f>Revenue!N15</f>
        <v>600</v>
      </c>
      <c r="J17" s="118">
        <f>Revenue!O15</f>
        <v>600</v>
      </c>
      <c r="K17" s="118">
        <f>Revenue!P15</f>
        <v>600</v>
      </c>
      <c r="L17" s="118">
        <f>Revenue!Q15</f>
        <v>600</v>
      </c>
      <c r="M17" s="118">
        <f>Revenue!C41</f>
        <v>50</v>
      </c>
      <c r="N17" s="118">
        <f>Revenue!D41</f>
        <v>50</v>
      </c>
      <c r="O17" s="118">
        <f>Revenue!E41</f>
        <v>50</v>
      </c>
      <c r="P17" s="118">
        <f>Revenue!F41</f>
        <v>50</v>
      </c>
      <c r="Q17" s="118">
        <f>Revenue!G41</f>
        <v>50</v>
      </c>
      <c r="R17" s="118">
        <f>Revenue!H41</f>
        <v>50</v>
      </c>
      <c r="S17" s="118">
        <f>Revenue!I41</f>
        <v>50</v>
      </c>
      <c r="T17" s="118">
        <f>Revenue!J41</f>
        <v>50</v>
      </c>
      <c r="U17" s="118">
        <f>Revenue!K41</f>
        <v>50</v>
      </c>
      <c r="V17" s="118">
        <f>Revenue!L41</f>
        <v>50</v>
      </c>
      <c r="W17" s="118">
        <f>Revenue!M41</f>
        <v>50</v>
      </c>
      <c r="X17" s="118">
        <f>Revenue!N41</f>
        <v>50</v>
      </c>
      <c r="Y17" s="130">
        <f t="shared" si="0"/>
        <v>600</v>
      </c>
      <c r="Z17" s="113">
        <f t="shared" si="1"/>
        <v>0</v>
      </c>
    </row>
    <row r="18" spans="1:26" x14ac:dyDescent="0.25">
      <c r="A18" s="107"/>
      <c r="B18" s="107"/>
      <c r="C18" s="107"/>
      <c r="E18" s="107"/>
      <c r="F18" s="107" t="s">
        <v>151</v>
      </c>
      <c r="G18" s="107"/>
      <c r="H18" s="118">
        <f>Revenue!M16</f>
        <v>3371</v>
      </c>
      <c r="I18" s="118">
        <f>Revenue!N16</f>
        <v>3371</v>
      </c>
      <c r="J18" s="118">
        <f>Revenue!O16</f>
        <v>3371</v>
      </c>
      <c r="K18" s="118">
        <f>Revenue!P16</f>
        <v>3371</v>
      </c>
      <c r="L18" s="118">
        <f>Revenue!Q16</f>
        <v>3371</v>
      </c>
      <c r="M18" s="118">
        <f>Revenue!C42</f>
        <v>0</v>
      </c>
      <c r="N18" s="118">
        <f>Revenue!D42</f>
        <v>0</v>
      </c>
      <c r="O18" s="118">
        <f>Revenue!E42</f>
        <v>0</v>
      </c>
      <c r="P18" s="118">
        <f>Revenue!F42</f>
        <v>0</v>
      </c>
      <c r="Q18" s="118">
        <f>Revenue!G42</f>
        <v>842.75</v>
      </c>
      <c r="R18" s="118">
        <f>Revenue!H42</f>
        <v>842.75</v>
      </c>
      <c r="S18" s="118">
        <f>Revenue!I42</f>
        <v>842.75</v>
      </c>
      <c r="T18" s="118">
        <f>Revenue!J42</f>
        <v>842.75</v>
      </c>
      <c r="U18" s="118">
        <f>Revenue!K42</f>
        <v>0</v>
      </c>
      <c r="V18" s="118">
        <f>Revenue!L42</f>
        <v>0</v>
      </c>
      <c r="W18" s="118">
        <f>Revenue!M42</f>
        <v>0</v>
      </c>
      <c r="X18" s="118">
        <f>Revenue!N42</f>
        <v>0</v>
      </c>
      <c r="Y18" s="130">
        <f t="shared" si="0"/>
        <v>3371</v>
      </c>
      <c r="Z18" s="113">
        <f t="shared" si="1"/>
        <v>0</v>
      </c>
    </row>
    <row r="19" spans="1:26" x14ac:dyDescent="0.25">
      <c r="A19" s="107"/>
      <c r="B19" s="107"/>
      <c r="C19" s="107"/>
      <c r="E19" s="107"/>
      <c r="F19" s="107" t="s">
        <v>152</v>
      </c>
      <c r="G19" s="107"/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30">
        <f t="shared" si="0"/>
        <v>0</v>
      </c>
      <c r="Z19" s="113">
        <f t="shared" si="1"/>
        <v>0</v>
      </c>
    </row>
    <row r="20" spans="1:26" x14ac:dyDescent="0.25">
      <c r="A20" s="107"/>
      <c r="B20" s="107"/>
      <c r="C20" s="107"/>
      <c r="E20" s="107"/>
      <c r="F20" s="107" t="s">
        <v>153</v>
      </c>
      <c r="G20" s="107"/>
      <c r="H20" s="118">
        <f>Revenue!M18</f>
        <v>80</v>
      </c>
      <c r="I20" s="118">
        <f>Revenue!N18</f>
        <v>80</v>
      </c>
      <c r="J20" s="118">
        <f>Revenue!O18</f>
        <v>80</v>
      </c>
      <c r="K20" s="118">
        <f>Revenue!P18</f>
        <v>80</v>
      </c>
      <c r="L20" s="118">
        <f>Revenue!Q18</f>
        <v>80</v>
      </c>
      <c r="M20" s="118">
        <f>Revenue!C44</f>
        <v>0</v>
      </c>
      <c r="N20" s="118">
        <f>Revenue!D44</f>
        <v>0</v>
      </c>
      <c r="O20" s="118">
        <f>Revenue!E44</f>
        <v>0</v>
      </c>
      <c r="P20" s="118">
        <f>Revenue!F44</f>
        <v>0</v>
      </c>
      <c r="Q20" s="118">
        <f>Revenue!G44</f>
        <v>20</v>
      </c>
      <c r="R20" s="118">
        <f>Revenue!H44</f>
        <v>20</v>
      </c>
      <c r="S20" s="118">
        <f>Revenue!I44</f>
        <v>20</v>
      </c>
      <c r="T20" s="118">
        <f>Revenue!J44</f>
        <v>20</v>
      </c>
      <c r="U20" s="118">
        <f>Revenue!K44</f>
        <v>0</v>
      </c>
      <c r="V20" s="118">
        <f>Revenue!L44</f>
        <v>0</v>
      </c>
      <c r="W20" s="118">
        <f>Revenue!M44</f>
        <v>0</v>
      </c>
      <c r="X20" s="118">
        <f>Revenue!N44</f>
        <v>0</v>
      </c>
      <c r="Y20" s="130">
        <f t="shared" si="0"/>
        <v>80</v>
      </c>
      <c r="Z20" s="113">
        <f t="shared" si="1"/>
        <v>0</v>
      </c>
    </row>
    <row r="21" spans="1:26" x14ac:dyDescent="0.25">
      <c r="A21" s="107"/>
      <c r="B21" s="107"/>
      <c r="C21" s="107"/>
      <c r="E21" s="107"/>
      <c r="F21" s="107" t="s">
        <v>154</v>
      </c>
      <c r="G21" s="107"/>
      <c r="H21" s="118">
        <f>Revenue!M19</f>
        <v>0</v>
      </c>
      <c r="I21" s="118">
        <f>Revenue!N19</f>
        <v>0</v>
      </c>
      <c r="J21" s="118">
        <f>Revenue!O19</f>
        <v>0</v>
      </c>
      <c r="K21" s="118">
        <f>Revenue!P19</f>
        <v>0</v>
      </c>
      <c r="L21" s="118">
        <f>Revenue!Q19</f>
        <v>0</v>
      </c>
      <c r="M21" s="118">
        <f>Revenue!C45</f>
        <v>0</v>
      </c>
      <c r="N21" s="118">
        <f>Revenue!D45</f>
        <v>0</v>
      </c>
      <c r="O21" s="118">
        <f>Revenue!E45</f>
        <v>0</v>
      </c>
      <c r="P21" s="118">
        <f>Revenue!F45</f>
        <v>0</v>
      </c>
      <c r="Q21" s="118">
        <f>Revenue!G45</f>
        <v>0</v>
      </c>
      <c r="R21" s="118">
        <f>Revenue!H45</f>
        <v>0</v>
      </c>
      <c r="S21" s="118">
        <f>Revenue!I45</f>
        <v>0</v>
      </c>
      <c r="T21" s="118">
        <f>Revenue!J45</f>
        <v>0</v>
      </c>
      <c r="U21" s="118">
        <f>Revenue!K45</f>
        <v>0</v>
      </c>
      <c r="V21" s="118">
        <f>Revenue!L45</f>
        <v>0</v>
      </c>
      <c r="W21" s="118">
        <f>Revenue!M45</f>
        <v>0</v>
      </c>
      <c r="X21" s="118">
        <f>Revenue!N45</f>
        <v>0</v>
      </c>
      <c r="Y21" s="130">
        <f t="shared" si="0"/>
        <v>0</v>
      </c>
      <c r="Z21" s="113">
        <f t="shared" si="1"/>
        <v>0</v>
      </c>
    </row>
    <row r="22" spans="1:26" x14ac:dyDescent="0.25">
      <c r="A22" s="107"/>
      <c r="B22" s="107"/>
      <c r="C22" s="107"/>
      <c r="E22" s="107"/>
      <c r="F22" s="107" t="s">
        <v>155</v>
      </c>
      <c r="G22" s="107"/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  <c r="U22" s="118">
        <v>0</v>
      </c>
      <c r="V22" s="118">
        <v>0</v>
      </c>
      <c r="W22" s="118">
        <v>0</v>
      </c>
      <c r="X22" s="118">
        <v>0</v>
      </c>
      <c r="Y22" s="130">
        <f t="shared" si="0"/>
        <v>0</v>
      </c>
      <c r="Z22" s="113">
        <f t="shared" si="1"/>
        <v>0</v>
      </c>
    </row>
    <row r="23" spans="1:26" x14ac:dyDescent="0.25">
      <c r="A23" s="107"/>
      <c r="B23" s="107"/>
      <c r="C23" s="107"/>
      <c r="E23" s="107"/>
      <c r="F23" s="107" t="s">
        <v>156</v>
      </c>
      <c r="G23" s="107"/>
      <c r="H23" s="118">
        <f>Revenue!M21</f>
        <v>0</v>
      </c>
      <c r="I23" s="118">
        <f>Revenue!N21</f>
        <v>0</v>
      </c>
      <c r="J23" s="118">
        <f>Revenue!O21</f>
        <v>0</v>
      </c>
      <c r="K23" s="118">
        <f>Revenue!P21</f>
        <v>0</v>
      </c>
      <c r="L23" s="118">
        <f>Revenue!Q21</f>
        <v>0</v>
      </c>
      <c r="M23" s="118">
        <f>Revenue!C47</f>
        <v>0</v>
      </c>
      <c r="N23" s="118">
        <f>Revenue!D47</f>
        <v>0</v>
      </c>
      <c r="O23" s="118">
        <f>Revenue!E47</f>
        <v>0</v>
      </c>
      <c r="P23" s="118">
        <f>Revenue!F47</f>
        <v>0</v>
      </c>
      <c r="Q23" s="118">
        <f>Revenue!G47</f>
        <v>0</v>
      </c>
      <c r="R23" s="118">
        <f>Revenue!H47</f>
        <v>0</v>
      </c>
      <c r="S23" s="118">
        <f>Revenue!I47</f>
        <v>0</v>
      </c>
      <c r="T23" s="118">
        <f>Revenue!J47</f>
        <v>0</v>
      </c>
      <c r="U23" s="118">
        <f>Revenue!K47</f>
        <v>0</v>
      </c>
      <c r="V23" s="118">
        <f>Revenue!L47</f>
        <v>0</v>
      </c>
      <c r="W23" s="118">
        <f>Revenue!M47</f>
        <v>0</v>
      </c>
      <c r="X23" s="118">
        <f>Revenue!N47</f>
        <v>0</v>
      </c>
      <c r="Y23" s="130">
        <f t="shared" si="0"/>
        <v>0</v>
      </c>
      <c r="Z23" s="113">
        <f t="shared" si="1"/>
        <v>0</v>
      </c>
    </row>
    <row r="24" spans="1:26" ht="15.75" thickBot="1" x14ac:dyDescent="0.3">
      <c r="A24" s="107"/>
      <c r="B24" s="107"/>
      <c r="C24" s="107"/>
      <c r="E24" s="107"/>
      <c r="F24" s="107" t="s">
        <v>157</v>
      </c>
      <c r="G24" s="107"/>
      <c r="H24" s="118">
        <f>Revenue!M22</f>
        <v>0</v>
      </c>
      <c r="I24" s="118">
        <f>Revenue!N22</f>
        <v>0</v>
      </c>
      <c r="J24" s="118">
        <f>Revenue!O22</f>
        <v>0</v>
      </c>
      <c r="K24" s="118">
        <f>Revenue!P22</f>
        <v>0</v>
      </c>
      <c r="L24" s="118">
        <f>Revenue!Q22</f>
        <v>0</v>
      </c>
      <c r="M24" s="118">
        <f>Revenue!C48</f>
        <v>0</v>
      </c>
      <c r="N24" s="118">
        <f>Revenue!D48</f>
        <v>0</v>
      </c>
      <c r="O24" s="118">
        <f>Revenue!E48</f>
        <v>0</v>
      </c>
      <c r="P24" s="118">
        <f>Revenue!F48</f>
        <v>0</v>
      </c>
      <c r="Q24" s="118">
        <f>Revenue!G48</f>
        <v>0</v>
      </c>
      <c r="R24" s="118">
        <f>Revenue!H48</f>
        <v>0</v>
      </c>
      <c r="S24" s="118">
        <f>Revenue!I48</f>
        <v>0</v>
      </c>
      <c r="T24" s="118">
        <f>Revenue!J48</f>
        <v>0</v>
      </c>
      <c r="U24" s="118">
        <f>Revenue!K48</f>
        <v>0</v>
      </c>
      <c r="V24" s="118">
        <f>Revenue!L48</f>
        <v>0</v>
      </c>
      <c r="W24" s="118">
        <f>Revenue!M48</f>
        <v>0</v>
      </c>
      <c r="X24" s="118">
        <f>Revenue!N48</f>
        <v>0</v>
      </c>
      <c r="Y24" s="130">
        <f t="shared" si="0"/>
        <v>0</v>
      </c>
      <c r="Z24" s="113">
        <f t="shared" si="1"/>
        <v>0</v>
      </c>
    </row>
    <row r="25" spans="1:26" ht="15.75" thickBot="1" x14ac:dyDescent="0.3">
      <c r="A25" s="107"/>
      <c r="B25" s="107"/>
      <c r="C25" s="107" t="s">
        <v>158</v>
      </c>
      <c r="D25" s="107"/>
      <c r="E25" s="107"/>
      <c r="F25" s="107"/>
      <c r="G25" s="107"/>
      <c r="H25" s="131">
        <f>ROUND(SUM(H6:H24),5)</f>
        <v>260913.59375</v>
      </c>
      <c r="I25" s="131">
        <f t="shared" ref="I25:X25" si="2">ROUND(SUM(I6:I24),5)</f>
        <v>264624.78266000003</v>
      </c>
      <c r="J25" s="131">
        <f t="shared" si="2"/>
        <v>268391.63939999999</v>
      </c>
      <c r="K25" s="131">
        <f t="shared" si="2"/>
        <v>272214.99898999999</v>
      </c>
      <c r="L25" s="131">
        <f t="shared" si="2"/>
        <v>276095.70896999998</v>
      </c>
      <c r="M25" s="131">
        <f t="shared" si="2"/>
        <v>247733.42707999999</v>
      </c>
      <c r="N25" s="131">
        <f t="shared" si="2"/>
        <v>320.83332999999999</v>
      </c>
      <c r="O25" s="131">
        <f t="shared" si="2"/>
        <v>320.83332999999999</v>
      </c>
      <c r="P25" s="131">
        <f t="shared" si="2"/>
        <v>320.83332999999999</v>
      </c>
      <c r="Q25" s="131">
        <f t="shared" si="2"/>
        <v>2733.5833299999999</v>
      </c>
      <c r="R25" s="131">
        <f t="shared" si="2"/>
        <v>2733.5833299999999</v>
      </c>
      <c r="S25" s="131">
        <f t="shared" si="2"/>
        <v>2733.5833299999999</v>
      </c>
      <c r="T25" s="131">
        <f t="shared" si="2"/>
        <v>2733.5833299999999</v>
      </c>
      <c r="U25" s="131">
        <f t="shared" si="2"/>
        <v>320.83332999999999</v>
      </c>
      <c r="V25" s="131">
        <f t="shared" si="2"/>
        <v>320.83332999999999</v>
      </c>
      <c r="W25" s="131">
        <f t="shared" si="2"/>
        <v>320.83332999999999</v>
      </c>
      <c r="X25" s="131">
        <f t="shared" si="2"/>
        <v>320.83332999999999</v>
      </c>
      <c r="Y25" s="131">
        <f>ROUND(SUM(Y6:Y24),5)</f>
        <v>260913.59375</v>
      </c>
      <c r="Z25" s="113">
        <f t="shared" si="1"/>
        <v>0</v>
      </c>
    </row>
    <row r="26" spans="1:26" x14ac:dyDescent="0.25">
      <c r="A26" s="107"/>
      <c r="B26" s="107" t="s">
        <v>159</v>
      </c>
      <c r="C26" s="107"/>
      <c r="D26" s="107"/>
      <c r="E26" s="107"/>
      <c r="F26" s="107"/>
      <c r="G26" s="107"/>
      <c r="H26" s="118">
        <f>H25</f>
        <v>260913.59375</v>
      </c>
      <c r="I26" s="118">
        <f t="shared" ref="I26:X26" si="3">I25</f>
        <v>264624.78266000003</v>
      </c>
      <c r="J26" s="118">
        <f t="shared" si="3"/>
        <v>268391.63939999999</v>
      </c>
      <c r="K26" s="118">
        <f t="shared" si="3"/>
        <v>272214.99898999999</v>
      </c>
      <c r="L26" s="118">
        <f t="shared" si="3"/>
        <v>276095.70896999998</v>
      </c>
      <c r="M26" s="118">
        <f t="shared" si="3"/>
        <v>247733.42707999999</v>
      </c>
      <c r="N26" s="118">
        <f t="shared" si="3"/>
        <v>320.83332999999999</v>
      </c>
      <c r="O26" s="118">
        <f t="shared" si="3"/>
        <v>320.83332999999999</v>
      </c>
      <c r="P26" s="118">
        <f t="shared" si="3"/>
        <v>320.83332999999999</v>
      </c>
      <c r="Q26" s="118">
        <f t="shared" si="3"/>
        <v>2733.5833299999999</v>
      </c>
      <c r="R26" s="118">
        <f t="shared" si="3"/>
        <v>2733.5833299999999</v>
      </c>
      <c r="S26" s="118">
        <f t="shared" si="3"/>
        <v>2733.5833299999999</v>
      </c>
      <c r="T26" s="118">
        <f t="shared" si="3"/>
        <v>2733.5833299999999</v>
      </c>
      <c r="U26" s="118">
        <f t="shared" si="3"/>
        <v>320.83332999999999</v>
      </c>
      <c r="V26" s="118">
        <f t="shared" si="3"/>
        <v>320.83332999999999</v>
      </c>
      <c r="W26" s="118">
        <f t="shared" si="3"/>
        <v>320.83332999999999</v>
      </c>
      <c r="X26" s="118">
        <f t="shared" si="3"/>
        <v>320.83332999999999</v>
      </c>
      <c r="Y26" s="130">
        <f t="shared" si="0"/>
        <v>260913.59370999993</v>
      </c>
      <c r="Z26" s="113">
        <f t="shared" si="1"/>
        <v>0</v>
      </c>
    </row>
    <row r="27" spans="1:26" hidden="1" x14ac:dyDescent="0.25">
      <c r="A27" s="107"/>
      <c r="B27" s="107"/>
      <c r="C27" s="107" t="s">
        <v>160</v>
      </c>
      <c r="D27" s="107"/>
      <c r="E27" s="107"/>
      <c r="F27" s="107"/>
      <c r="G27" s="107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30"/>
    </row>
    <row r="28" spans="1:26" hidden="1" x14ac:dyDescent="0.25">
      <c r="A28" s="107"/>
      <c r="B28" s="107"/>
      <c r="C28" s="107"/>
      <c r="D28" s="107" t="s">
        <v>160</v>
      </c>
      <c r="E28" s="107"/>
      <c r="F28" s="107"/>
      <c r="G28" s="107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30"/>
    </row>
    <row r="29" spans="1:26" hidden="1" x14ac:dyDescent="0.25">
      <c r="A29" s="107"/>
      <c r="B29" s="107"/>
      <c r="C29" s="107"/>
      <c r="D29" s="107"/>
      <c r="E29" s="107" t="s">
        <v>111</v>
      </c>
      <c r="F29" s="107"/>
      <c r="G29" s="107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30"/>
    </row>
    <row r="30" spans="1:26" hidden="1" x14ac:dyDescent="0.25">
      <c r="A30" s="107"/>
      <c r="B30" s="107"/>
      <c r="C30" s="107"/>
      <c r="D30" s="107"/>
      <c r="E30" s="107"/>
      <c r="F30" s="132" t="s">
        <v>112</v>
      </c>
      <c r="G30" s="107"/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0">
        <f t="shared" si="0"/>
        <v>0</v>
      </c>
      <c r="Z30" s="113">
        <f t="shared" ref="Z30:Z37" si="4">ROUND(Y30-H30,0)</f>
        <v>0</v>
      </c>
    </row>
    <row r="31" spans="1:26" hidden="1" x14ac:dyDescent="0.25">
      <c r="A31" s="107"/>
      <c r="B31" s="107"/>
      <c r="C31" s="107"/>
      <c r="D31" s="107"/>
      <c r="E31" s="107"/>
      <c r="F31" s="132" t="s">
        <v>113</v>
      </c>
      <c r="G31" s="107"/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0">
        <f t="shared" si="0"/>
        <v>0</v>
      </c>
      <c r="Z31" s="113">
        <f t="shared" si="4"/>
        <v>0</v>
      </c>
    </row>
    <row r="32" spans="1:26" hidden="1" x14ac:dyDescent="0.25">
      <c r="A32" s="107"/>
      <c r="B32" s="107"/>
      <c r="C32" s="107"/>
      <c r="D32" s="107"/>
      <c r="E32" s="107"/>
      <c r="F32" s="132" t="s">
        <v>114</v>
      </c>
      <c r="G32" s="107"/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0">
        <f t="shared" si="0"/>
        <v>0</v>
      </c>
      <c r="Z32" s="113">
        <f t="shared" si="4"/>
        <v>0</v>
      </c>
    </row>
    <row r="33" spans="1:26" hidden="1" x14ac:dyDescent="0.25">
      <c r="A33" s="107"/>
      <c r="B33" s="107"/>
      <c r="C33" s="107"/>
      <c r="D33" s="107"/>
      <c r="E33" s="107"/>
      <c r="F33" s="132" t="s">
        <v>115</v>
      </c>
      <c r="G33" s="107"/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0">
        <f t="shared" si="0"/>
        <v>0</v>
      </c>
      <c r="Z33" s="113">
        <f t="shared" si="4"/>
        <v>0</v>
      </c>
    </row>
    <row r="34" spans="1:26" hidden="1" x14ac:dyDescent="0.25">
      <c r="A34" s="107"/>
      <c r="B34" s="107"/>
      <c r="C34" s="107"/>
      <c r="D34" s="107"/>
      <c r="E34" s="107"/>
      <c r="F34" s="132" t="s">
        <v>116</v>
      </c>
      <c r="G34" s="107"/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0</v>
      </c>
      <c r="Y34" s="130">
        <f t="shared" si="0"/>
        <v>0</v>
      </c>
      <c r="Z34" s="113">
        <f t="shared" si="4"/>
        <v>0</v>
      </c>
    </row>
    <row r="35" spans="1:26" hidden="1" x14ac:dyDescent="0.25">
      <c r="A35" s="107"/>
      <c r="B35" s="107"/>
      <c r="C35" s="107"/>
      <c r="D35" s="107"/>
      <c r="E35" s="107"/>
      <c r="F35" s="132" t="s">
        <v>117</v>
      </c>
      <c r="G35" s="107"/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0">
        <f t="shared" si="0"/>
        <v>0</v>
      </c>
      <c r="Z35" s="113">
        <f t="shared" si="4"/>
        <v>0</v>
      </c>
    </row>
    <row r="36" spans="1:26" ht="15.75" hidden="1" thickBot="1" x14ac:dyDescent="0.3">
      <c r="A36" s="107"/>
      <c r="B36" s="107"/>
      <c r="C36" s="107"/>
      <c r="D36" s="107"/>
      <c r="E36" s="107"/>
      <c r="F36" s="132" t="s">
        <v>118</v>
      </c>
      <c r="G36" s="107"/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5">
        <f t="shared" si="0"/>
        <v>0</v>
      </c>
      <c r="Z36" s="113">
        <f t="shared" si="4"/>
        <v>0</v>
      </c>
    </row>
    <row r="37" spans="1:26" hidden="1" x14ac:dyDescent="0.25">
      <c r="A37" s="107"/>
      <c r="B37" s="107"/>
      <c r="C37" s="107"/>
      <c r="D37" s="107"/>
      <c r="E37" s="107" t="s">
        <v>119</v>
      </c>
      <c r="F37" s="107"/>
      <c r="G37" s="107"/>
      <c r="H37" s="118">
        <f>ROUND(SUM(H30:H36),5)</f>
        <v>0</v>
      </c>
      <c r="I37" s="118">
        <f t="shared" ref="I37:W37" si="5">ROUND(SUM(I30:I36),5)</f>
        <v>0</v>
      </c>
      <c r="J37" s="118">
        <f t="shared" si="5"/>
        <v>0</v>
      </c>
      <c r="K37" s="118">
        <f t="shared" si="5"/>
        <v>0</v>
      </c>
      <c r="L37" s="118">
        <f t="shared" si="5"/>
        <v>0</v>
      </c>
      <c r="M37" s="118">
        <f t="shared" si="5"/>
        <v>0</v>
      </c>
      <c r="N37" s="118">
        <f t="shared" si="5"/>
        <v>0</v>
      </c>
      <c r="O37" s="118">
        <f t="shared" si="5"/>
        <v>0</v>
      </c>
      <c r="P37" s="118">
        <f t="shared" si="5"/>
        <v>0</v>
      </c>
      <c r="Q37" s="118">
        <f t="shared" si="5"/>
        <v>0</v>
      </c>
      <c r="R37" s="118">
        <f t="shared" si="5"/>
        <v>0</v>
      </c>
      <c r="S37" s="118">
        <f t="shared" si="5"/>
        <v>0</v>
      </c>
      <c r="T37" s="118">
        <f t="shared" si="5"/>
        <v>0</v>
      </c>
      <c r="U37" s="118">
        <f t="shared" si="5"/>
        <v>0</v>
      </c>
      <c r="V37" s="118">
        <f t="shared" si="5"/>
        <v>0</v>
      </c>
      <c r="W37" s="118">
        <f t="shared" si="5"/>
        <v>0</v>
      </c>
      <c r="X37" s="118">
        <f>ROUND(SUM(X30:X36),5)</f>
        <v>0</v>
      </c>
      <c r="Y37" s="118">
        <f>ROUND(SUM(Y30:Y36),5)</f>
        <v>0</v>
      </c>
      <c r="Z37" s="113">
        <f t="shared" si="4"/>
        <v>0</v>
      </c>
    </row>
    <row r="38" spans="1:26" x14ac:dyDescent="0.25">
      <c r="A38" s="107"/>
      <c r="B38" s="107"/>
      <c r="C38" s="107"/>
      <c r="D38" s="107"/>
      <c r="E38" s="107" t="s">
        <v>0</v>
      </c>
      <c r="F38" s="107"/>
      <c r="G38" s="107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30"/>
    </row>
    <row r="39" spans="1:26" x14ac:dyDescent="0.25">
      <c r="A39" s="107"/>
      <c r="B39" s="107"/>
      <c r="C39" s="107"/>
      <c r="D39" s="107"/>
      <c r="E39" s="107"/>
      <c r="F39" s="132" t="s">
        <v>1</v>
      </c>
      <c r="G39" s="107"/>
      <c r="H39" s="118">
        <f>'Lodge &amp; Pool'!M4</f>
        <v>2000</v>
      </c>
      <c r="I39" s="118">
        <f>'Lodge &amp; Pool'!N4</f>
        <v>2029.9999999999998</v>
      </c>
      <c r="J39" s="118">
        <f>'Lodge &amp; Pool'!O4</f>
        <v>2060.4499999999994</v>
      </c>
      <c r="K39" s="118">
        <f>'Lodge &amp; Pool'!P4</f>
        <v>2091.356749999999</v>
      </c>
      <c r="L39" s="118">
        <f>'Lodge &amp; Pool'!Q4</f>
        <v>2122.7271012499987</v>
      </c>
      <c r="M39" s="118">
        <f>'Lodge &amp; Pool'!C33</f>
        <v>0</v>
      </c>
      <c r="N39" s="118">
        <f>'Lodge &amp; Pool'!D33</f>
        <v>0</v>
      </c>
      <c r="O39" s="118">
        <f>'Lodge &amp; Pool'!E33</f>
        <v>0</v>
      </c>
      <c r="P39" s="118">
        <f>'Lodge &amp; Pool'!F33</f>
        <v>0</v>
      </c>
      <c r="Q39" s="118">
        <f>'Lodge &amp; Pool'!G33</f>
        <v>1000</v>
      </c>
      <c r="R39" s="118">
        <f>'Lodge &amp; Pool'!H33</f>
        <v>0</v>
      </c>
      <c r="S39" s="118">
        <f>'Lodge &amp; Pool'!I33</f>
        <v>1000</v>
      </c>
      <c r="T39" s="118">
        <f>'Lodge &amp; Pool'!J33</f>
        <v>0</v>
      </c>
      <c r="U39" s="118">
        <f>'Lodge &amp; Pool'!K33</f>
        <v>0</v>
      </c>
      <c r="V39" s="118">
        <f>'Lodge &amp; Pool'!L33</f>
        <v>0</v>
      </c>
      <c r="W39" s="118">
        <f>'Lodge &amp; Pool'!M33</f>
        <v>0</v>
      </c>
      <c r="X39" s="118">
        <f>'Lodge &amp; Pool'!N33</f>
        <v>0</v>
      </c>
      <c r="Y39" s="130">
        <f t="shared" si="0"/>
        <v>2000</v>
      </c>
      <c r="Z39" s="113">
        <f t="shared" ref="Z39:Z61" si="6">ROUND(Y39-H39,0)</f>
        <v>0</v>
      </c>
    </row>
    <row r="40" spans="1:26" x14ac:dyDescent="0.25">
      <c r="A40" s="107"/>
      <c r="B40" s="107"/>
      <c r="C40" s="107"/>
      <c r="D40" s="107"/>
      <c r="E40" s="107"/>
      <c r="F40" s="132" t="s">
        <v>2</v>
      </c>
      <c r="G40" s="107"/>
      <c r="H40" s="118">
        <f>'Lodge &amp; Pool'!M5</f>
        <v>5000</v>
      </c>
      <c r="I40" s="118">
        <f>'Lodge &amp; Pool'!N5</f>
        <v>5500</v>
      </c>
      <c r="J40" s="118">
        <f>'Lodge &amp; Pool'!O5</f>
        <v>1000</v>
      </c>
      <c r="K40" s="118">
        <f>'Lodge &amp; Pool'!P5</f>
        <v>1000</v>
      </c>
      <c r="L40" s="118">
        <f>'Lodge &amp; Pool'!Q5</f>
        <v>1000</v>
      </c>
      <c r="M40" s="118">
        <f>'Lodge &amp; Pool'!C34</f>
        <v>0</v>
      </c>
      <c r="N40" s="118">
        <f>'Lodge &amp; Pool'!D34</f>
        <v>0</v>
      </c>
      <c r="O40" s="118">
        <f>'Lodge &amp; Pool'!E34</f>
        <v>0</v>
      </c>
      <c r="P40" s="118">
        <f>'Lodge &amp; Pool'!F34</f>
        <v>0</v>
      </c>
      <c r="Q40" s="118">
        <f>'Lodge &amp; Pool'!G34</f>
        <v>5000</v>
      </c>
      <c r="R40" s="118">
        <f>'Lodge &amp; Pool'!H34</f>
        <v>0</v>
      </c>
      <c r="S40" s="118">
        <f>'Lodge &amp; Pool'!I34</f>
        <v>0</v>
      </c>
      <c r="T40" s="118">
        <f>'Lodge &amp; Pool'!J34</f>
        <v>0</v>
      </c>
      <c r="U40" s="118">
        <f>'Lodge &amp; Pool'!K34</f>
        <v>0</v>
      </c>
      <c r="V40" s="118">
        <f>'Lodge &amp; Pool'!L34</f>
        <v>0</v>
      </c>
      <c r="W40" s="118">
        <f>'Lodge &amp; Pool'!M34</f>
        <v>0</v>
      </c>
      <c r="X40" s="118">
        <f>'Lodge &amp; Pool'!N34</f>
        <v>0</v>
      </c>
      <c r="Y40" s="130">
        <f t="shared" si="0"/>
        <v>5000</v>
      </c>
      <c r="Z40" s="113">
        <f t="shared" si="6"/>
        <v>0</v>
      </c>
    </row>
    <row r="41" spans="1:26" x14ac:dyDescent="0.25">
      <c r="A41" s="107"/>
      <c r="B41" s="107"/>
      <c r="C41" s="107"/>
      <c r="D41" s="107"/>
      <c r="E41" s="107"/>
      <c r="F41" s="132" t="s">
        <v>3</v>
      </c>
      <c r="G41" s="107"/>
      <c r="H41" s="118">
        <f>'Lodge &amp; Pool'!M6</f>
        <v>1200</v>
      </c>
      <c r="I41" s="118">
        <f>'Lodge &amp; Pool'!N6</f>
        <v>1217.9999999999998</v>
      </c>
      <c r="J41" s="118">
        <f>'Lodge &amp; Pool'!O6</f>
        <v>1236.2699999999998</v>
      </c>
      <c r="K41" s="118">
        <f>'Lodge &amp; Pool'!P6</f>
        <v>1254.8140499999997</v>
      </c>
      <c r="L41" s="118">
        <f>'Lodge &amp; Pool'!Q6</f>
        <v>1273.6362607499996</v>
      </c>
      <c r="M41" s="118">
        <f>'Lodge &amp; Pool'!C35</f>
        <v>150</v>
      </c>
      <c r="N41" s="118">
        <f>'Lodge &amp; Pool'!D35</f>
        <v>150</v>
      </c>
      <c r="O41" s="118">
        <f>'Lodge &amp; Pool'!E35</f>
        <v>150</v>
      </c>
      <c r="P41" s="118">
        <f>'Lodge &amp; Pool'!F35</f>
        <v>150</v>
      </c>
      <c r="Q41" s="118">
        <f>'Lodge &amp; Pool'!G35</f>
        <v>25</v>
      </c>
      <c r="R41" s="118">
        <f>'Lodge &amp; Pool'!H35</f>
        <v>25</v>
      </c>
      <c r="S41" s="118">
        <f>'Lodge &amp; Pool'!I35</f>
        <v>25</v>
      </c>
      <c r="T41" s="118">
        <f>'Lodge &amp; Pool'!J35</f>
        <v>25</v>
      </c>
      <c r="U41" s="118">
        <f>'Lodge &amp; Pool'!K35</f>
        <v>25</v>
      </c>
      <c r="V41" s="118">
        <f>'Lodge &amp; Pool'!L35</f>
        <v>25</v>
      </c>
      <c r="W41" s="118">
        <f>'Lodge &amp; Pool'!M35</f>
        <v>150</v>
      </c>
      <c r="X41" s="118">
        <f>'Lodge &amp; Pool'!N35</f>
        <v>300</v>
      </c>
      <c r="Y41" s="130">
        <f t="shared" si="0"/>
        <v>1200</v>
      </c>
      <c r="Z41" s="113">
        <f t="shared" si="6"/>
        <v>0</v>
      </c>
    </row>
    <row r="42" spans="1:26" x14ac:dyDescent="0.25">
      <c r="A42" s="107"/>
      <c r="B42" s="107"/>
      <c r="C42" s="107"/>
      <c r="D42" s="107"/>
      <c r="E42" s="107"/>
      <c r="F42" s="132" t="s">
        <v>4</v>
      </c>
      <c r="G42" s="107"/>
      <c r="H42" s="118">
        <f>'Lodge &amp; Pool'!M7</f>
        <v>1000</v>
      </c>
      <c r="I42" s="118">
        <f>'Lodge &amp; Pool'!N7</f>
        <v>2600</v>
      </c>
      <c r="J42" s="118">
        <f>'Lodge &amp; Pool'!O7</f>
        <v>100</v>
      </c>
      <c r="K42" s="118">
        <f>'Lodge &amp; Pool'!P7</f>
        <v>100</v>
      </c>
      <c r="L42" s="118">
        <f>'Lodge &amp; Pool'!Q7</f>
        <v>100</v>
      </c>
      <c r="M42" s="118">
        <f>'Lodge &amp; Pool'!C36</f>
        <v>0</v>
      </c>
      <c r="N42" s="118">
        <f>'Lodge &amp; Pool'!D36</f>
        <v>0</v>
      </c>
      <c r="O42" s="118">
        <f>'Lodge &amp; Pool'!E36</f>
        <v>0</v>
      </c>
      <c r="P42" s="118">
        <f>'Lodge &amp; Pool'!F36</f>
        <v>0</v>
      </c>
      <c r="Q42" s="118">
        <f>'Lodge &amp; Pool'!G36</f>
        <v>1000</v>
      </c>
      <c r="R42" s="118">
        <f>'Lodge &amp; Pool'!H36</f>
        <v>0</v>
      </c>
      <c r="S42" s="118">
        <f>'Lodge &amp; Pool'!I36</f>
        <v>0</v>
      </c>
      <c r="T42" s="118">
        <f>'Lodge &amp; Pool'!J36</f>
        <v>0</v>
      </c>
      <c r="U42" s="118">
        <f>'Lodge &amp; Pool'!K36</f>
        <v>0</v>
      </c>
      <c r="V42" s="118">
        <f>'Lodge &amp; Pool'!L36</f>
        <v>0</v>
      </c>
      <c r="W42" s="118">
        <f>'Lodge &amp; Pool'!M36</f>
        <v>0</v>
      </c>
      <c r="X42" s="118">
        <f>'Lodge &amp; Pool'!N36</f>
        <v>0</v>
      </c>
      <c r="Y42" s="130">
        <f t="shared" si="0"/>
        <v>1000</v>
      </c>
      <c r="Z42" s="113">
        <f t="shared" si="6"/>
        <v>0</v>
      </c>
    </row>
    <row r="43" spans="1:26" x14ac:dyDescent="0.25">
      <c r="A43" s="107"/>
      <c r="B43" s="107"/>
      <c r="C43" s="107"/>
      <c r="D43" s="107"/>
      <c r="E43" s="107"/>
      <c r="F43" s="132" t="s">
        <v>5</v>
      </c>
      <c r="G43" s="107"/>
      <c r="H43" s="118">
        <f>'Lodge &amp; Pool'!M8</f>
        <v>4000</v>
      </c>
      <c r="I43" s="118">
        <f>'Lodge &amp; Pool'!N8</f>
        <v>4000</v>
      </c>
      <c r="J43" s="118">
        <f>'Lodge &amp; Pool'!O8</f>
        <v>4000</v>
      </c>
      <c r="K43" s="118">
        <f>'Lodge &amp; Pool'!P8</f>
        <v>4000</v>
      </c>
      <c r="L43" s="118">
        <f>'Lodge &amp; Pool'!Q8</f>
        <v>4000</v>
      </c>
      <c r="M43" s="118">
        <f>'Lodge &amp; Pool'!C37</f>
        <v>100</v>
      </c>
      <c r="N43" s="118">
        <f>'Lodge &amp; Pool'!D37</f>
        <v>100</v>
      </c>
      <c r="O43" s="118">
        <f>'Lodge &amp; Pool'!E37</f>
        <v>100</v>
      </c>
      <c r="P43" s="118">
        <f>'Lodge &amp; Pool'!F37</f>
        <v>100</v>
      </c>
      <c r="Q43" s="118">
        <f>'Lodge &amp; Pool'!G37</f>
        <v>300</v>
      </c>
      <c r="R43" s="118">
        <f>'Lodge &amp; Pool'!H37</f>
        <v>500</v>
      </c>
      <c r="S43" s="118">
        <f>'Lodge &amp; Pool'!I37</f>
        <v>500</v>
      </c>
      <c r="T43" s="118">
        <f>'Lodge &amp; Pool'!J37</f>
        <v>500</v>
      </c>
      <c r="U43" s="118">
        <f>'Lodge &amp; Pool'!K37</f>
        <v>500</v>
      </c>
      <c r="V43" s="118">
        <f>'Lodge &amp; Pool'!L37</f>
        <v>500</v>
      </c>
      <c r="W43" s="118">
        <f>'Lodge &amp; Pool'!M37</f>
        <v>400</v>
      </c>
      <c r="X43" s="118">
        <f>'Lodge &amp; Pool'!N37</f>
        <v>400</v>
      </c>
      <c r="Y43" s="130">
        <f t="shared" si="0"/>
        <v>4000</v>
      </c>
      <c r="Z43" s="113">
        <f t="shared" si="6"/>
        <v>0</v>
      </c>
    </row>
    <row r="44" spans="1:26" x14ac:dyDescent="0.25">
      <c r="A44" s="107"/>
      <c r="B44" s="107"/>
      <c r="C44" s="107"/>
      <c r="D44" s="107"/>
      <c r="E44" s="107"/>
      <c r="F44" s="132" t="s">
        <v>6</v>
      </c>
      <c r="G44" s="107"/>
      <c r="H44" s="118">
        <f>'Lodge &amp; Pool'!M9</f>
        <v>400</v>
      </c>
      <c r="I44" s="118">
        <f>'Lodge &amp; Pool'!N9</f>
        <v>405.99999999999994</v>
      </c>
      <c r="J44" s="118">
        <f>'Lodge &amp; Pool'!O9</f>
        <v>412.08999999999992</v>
      </c>
      <c r="K44" s="118">
        <f>'Lodge &amp; Pool'!P9</f>
        <v>418.27134999999987</v>
      </c>
      <c r="L44" s="118">
        <f>'Lodge &amp; Pool'!Q9</f>
        <v>424.54542024999984</v>
      </c>
      <c r="M44" s="118">
        <f>'Lodge &amp; Pool'!C38</f>
        <v>35</v>
      </c>
      <c r="N44" s="118">
        <f>'Lodge &amp; Pool'!D38</f>
        <v>35</v>
      </c>
      <c r="O44" s="118">
        <f>'Lodge &amp; Pool'!E38</f>
        <v>35</v>
      </c>
      <c r="P44" s="118">
        <f>'Lodge &amp; Pool'!F38</f>
        <v>35</v>
      </c>
      <c r="Q44" s="118">
        <f>'Lodge &amp; Pool'!G38</f>
        <v>35</v>
      </c>
      <c r="R44" s="118">
        <f>'Lodge &amp; Pool'!H38</f>
        <v>35</v>
      </c>
      <c r="S44" s="118">
        <f>'Lodge &amp; Pool'!I38</f>
        <v>35</v>
      </c>
      <c r="T44" s="118">
        <f>'Lodge &amp; Pool'!J38</f>
        <v>35</v>
      </c>
      <c r="U44" s="118">
        <f>'Lodge &amp; Pool'!K38</f>
        <v>35</v>
      </c>
      <c r="V44" s="118">
        <f>'Lodge &amp; Pool'!L38</f>
        <v>35</v>
      </c>
      <c r="W44" s="118">
        <f>'Lodge &amp; Pool'!M38</f>
        <v>35</v>
      </c>
      <c r="X44" s="118">
        <f>'Lodge &amp; Pool'!N38</f>
        <v>15</v>
      </c>
      <c r="Y44" s="130">
        <f t="shared" si="0"/>
        <v>400</v>
      </c>
      <c r="Z44" s="113">
        <f t="shared" si="6"/>
        <v>0</v>
      </c>
    </row>
    <row r="45" spans="1:26" x14ac:dyDescent="0.25">
      <c r="A45" s="107"/>
      <c r="B45" s="107"/>
      <c r="C45" s="107"/>
      <c r="D45" s="107"/>
      <c r="E45" s="107"/>
      <c r="F45" s="132" t="s">
        <v>7</v>
      </c>
      <c r="G45" s="107"/>
      <c r="H45" s="118">
        <f>'Lodge &amp; Pool'!M10</f>
        <v>2000</v>
      </c>
      <c r="I45" s="118">
        <f>'Lodge &amp; Pool'!N10</f>
        <v>2029.9999999999998</v>
      </c>
      <c r="J45" s="118">
        <f>'Lodge &amp; Pool'!O10</f>
        <v>2060.4499999999994</v>
      </c>
      <c r="K45" s="118">
        <f>'Lodge &amp; Pool'!P10</f>
        <v>2091.356749999999</v>
      </c>
      <c r="L45" s="118">
        <f>'Lodge &amp; Pool'!Q10</f>
        <v>2122.7271012499987</v>
      </c>
      <c r="M45" s="118">
        <f>'Lodge &amp; Pool'!C39</f>
        <v>0</v>
      </c>
      <c r="N45" s="118">
        <f>'Lodge &amp; Pool'!D39</f>
        <v>0</v>
      </c>
      <c r="O45" s="118">
        <f>'Lodge &amp; Pool'!E39</f>
        <v>0</v>
      </c>
      <c r="P45" s="118">
        <f>'Lodge &amp; Pool'!F39</f>
        <v>0</v>
      </c>
      <c r="Q45" s="118">
        <f>'Lodge &amp; Pool'!G39</f>
        <v>0</v>
      </c>
      <c r="R45" s="118">
        <f>'Lodge &amp; Pool'!H39</f>
        <v>1500</v>
      </c>
      <c r="S45" s="118">
        <f>'Lodge &amp; Pool'!I39</f>
        <v>200</v>
      </c>
      <c r="T45" s="118">
        <f>'Lodge &amp; Pool'!J39</f>
        <v>200</v>
      </c>
      <c r="U45" s="118">
        <f>'Lodge &amp; Pool'!K39</f>
        <v>100</v>
      </c>
      <c r="V45" s="118">
        <f>'Lodge &amp; Pool'!L39</f>
        <v>0</v>
      </c>
      <c r="W45" s="118">
        <f>'Lodge &amp; Pool'!M39</f>
        <v>0</v>
      </c>
      <c r="X45" s="118">
        <f>'Lodge &amp; Pool'!N39</f>
        <v>0</v>
      </c>
      <c r="Y45" s="130">
        <f t="shared" si="0"/>
        <v>2000</v>
      </c>
      <c r="Z45" s="113">
        <f t="shared" si="6"/>
        <v>0</v>
      </c>
    </row>
    <row r="46" spans="1:26" x14ac:dyDescent="0.25">
      <c r="A46" s="107"/>
      <c r="B46" s="107"/>
      <c r="C46" s="107"/>
      <c r="D46" s="107"/>
      <c r="E46" s="107"/>
      <c r="F46" s="132" t="s">
        <v>8</v>
      </c>
      <c r="G46" s="107"/>
      <c r="H46" s="118">
        <f>'Lodge &amp; Pool'!M11</f>
        <v>200</v>
      </c>
      <c r="I46" s="118">
        <f>'Lodge &amp; Pool'!N11</f>
        <v>202.99999999999997</v>
      </c>
      <c r="J46" s="118">
        <f>'Lodge &amp; Pool'!O11</f>
        <v>206.04499999999996</v>
      </c>
      <c r="K46" s="118">
        <f>'Lodge &amp; Pool'!P11</f>
        <v>209.13567499999994</v>
      </c>
      <c r="L46" s="118">
        <f>'Lodge &amp; Pool'!Q11</f>
        <v>212.27271012499992</v>
      </c>
      <c r="M46" s="118">
        <f>'Lodge &amp; Pool'!C40</f>
        <v>15</v>
      </c>
      <c r="N46" s="118">
        <f>'Lodge &amp; Pool'!D40</f>
        <v>15</v>
      </c>
      <c r="O46" s="118">
        <f>'Lodge &amp; Pool'!E40</f>
        <v>15</v>
      </c>
      <c r="P46" s="118">
        <f>'Lodge &amp; Pool'!F40</f>
        <v>15</v>
      </c>
      <c r="Q46" s="118">
        <f>'Lodge &amp; Pool'!G40</f>
        <v>15</v>
      </c>
      <c r="R46" s="118">
        <f>'Lodge &amp; Pool'!H40</f>
        <v>15</v>
      </c>
      <c r="S46" s="118">
        <f>'Lodge &amp; Pool'!I40</f>
        <v>15</v>
      </c>
      <c r="T46" s="118">
        <f>'Lodge &amp; Pool'!J40</f>
        <v>15</v>
      </c>
      <c r="U46" s="118">
        <f>'Lodge &amp; Pool'!K40</f>
        <v>15</v>
      </c>
      <c r="V46" s="118">
        <f>'Lodge &amp; Pool'!L40</f>
        <v>15</v>
      </c>
      <c r="W46" s="118">
        <f>'Lodge &amp; Pool'!M40</f>
        <v>15</v>
      </c>
      <c r="X46" s="118">
        <f>'Lodge &amp; Pool'!N40</f>
        <v>35</v>
      </c>
      <c r="Y46" s="130">
        <f t="shared" si="0"/>
        <v>200</v>
      </c>
      <c r="Z46" s="113">
        <f t="shared" si="6"/>
        <v>0</v>
      </c>
    </row>
    <row r="47" spans="1:26" x14ac:dyDescent="0.25">
      <c r="A47" s="107"/>
      <c r="B47" s="107"/>
      <c r="C47" s="107"/>
      <c r="D47" s="107"/>
      <c r="E47" s="107"/>
      <c r="F47" s="132" t="s">
        <v>9</v>
      </c>
      <c r="G47" s="107"/>
      <c r="H47" s="118">
        <f>'Lodge &amp; Pool'!M12</f>
        <v>0</v>
      </c>
      <c r="I47" s="118">
        <f>'Lodge &amp; Pool'!N12</f>
        <v>0</v>
      </c>
      <c r="J47" s="118">
        <f>'Lodge &amp; Pool'!O12</f>
        <v>0</v>
      </c>
      <c r="K47" s="118">
        <f>'Lodge &amp; Pool'!P12</f>
        <v>0</v>
      </c>
      <c r="L47" s="118">
        <f>'Lodge &amp; Pool'!Q12</f>
        <v>0</v>
      </c>
      <c r="M47" s="118">
        <f>'Lodge &amp; Pool'!C41</f>
        <v>0</v>
      </c>
      <c r="N47" s="118">
        <f>'Lodge &amp; Pool'!D41</f>
        <v>0</v>
      </c>
      <c r="O47" s="118">
        <f>'Lodge &amp; Pool'!E41</f>
        <v>0</v>
      </c>
      <c r="P47" s="118">
        <f>'Lodge &amp; Pool'!F41</f>
        <v>0</v>
      </c>
      <c r="Q47" s="118">
        <f>'Lodge &amp; Pool'!G41</f>
        <v>0</v>
      </c>
      <c r="R47" s="118">
        <f>'Lodge &amp; Pool'!H41</f>
        <v>0</v>
      </c>
      <c r="S47" s="118">
        <f>'Lodge &amp; Pool'!I41</f>
        <v>0</v>
      </c>
      <c r="T47" s="118">
        <f>'Lodge &amp; Pool'!J41</f>
        <v>0</v>
      </c>
      <c r="U47" s="118">
        <f>'Lodge &amp; Pool'!K41</f>
        <v>0</v>
      </c>
      <c r="V47" s="118">
        <f>'Lodge &amp; Pool'!L41</f>
        <v>0</v>
      </c>
      <c r="W47" s="118">
        <f>'Lodge &amp; Pool'!M41</f>
        <v>0</v>
      </c>
      <c r="X47" s="118">
        <f>'Lodge &amp; Pool'!N41</f>
        <v>0</v>
      </c>
      <c r="Y47" s="130">
        <f t="shared" si="0"/>
        <v>0</v>
      </c>
      <c r="Z47" s="113">
        <f t="shared" si="6"/>
        <v>0</v>
      </c>
    </row>
    <row r="48" spans="1:26" x14ac:dyDescent="0.25">
      <c r="A48" s="107"/>
      <c r="B48" s="107"/>
      <c r="C48" s="107"/>
      <c r="D48" s="107"/>
      <c r="E48" s="107"/>
      <c r="F48" s="132" t="s">
        <v>10</v>
      </c>
      <c r="G48" s="107"/>
      <c r="H48" s="118">
        <f>'Lodge &amp; Pool'!M13</f>
        <v>300</v>
      </c>
      <c r="I48" s="118">
        <f>'Lodge &amp; Pool'!N13</f>
        <v>309</v>
      </c>
      <c r="J48" s="118">
        <f>'Lodge &amp; Pool'!O13</f>
        <v>318.27</v>
      </c>
      <c r="K48" s="118">
        <f>'Lodge &amp; Pool'!P13</f>
        <v>327.81810000000002</v>
      </c>
      <c r="L48" s="118">
        <f>'Lodge &amp; Pool'!Q13</f>
        <v>337.65264300000001</v>
      </c>
      <c r="M48" s="118">
        <f>'Lodge &amp; Pool'!C42</f>
        <v>0</v>
      </c>
      <c r="N48" s="118">
        <f>'Lodge &amp; Pool'!D42</f>
        <v>0</v>
      </c>
      <c r="O48" s="118">
        <f>'Lodge &amp; Pool'!E42</f>
        <v>0</v>
      </c>
      <c r="P48" s="118">
        <f>'Lodge &amp; Pool'!F42</f>
        <v>0</v>
      </c>
      <c r="Q48" s="118">
        <f>'Lodge &amp; Pool'!G42</f>
        <v>0</v>
      </c>
      <c r="R48" s="118">
        <f>'Lodge &amp; Pool'!H42</f>
        <v>0</v>
      </c>
      <c r="S48" s="118">
        <f>'Lodge &amp; Pool'!I42</f>
        <v>300</v>
      </c>
      <c r="T48" s="118">
        <f>'Lodge &amp; Pool'!J42</f>
        <v>0</v>
      </c>
      <c r="U48" s="118">
        <f>'Lodge &amp; Pool'!K42</f>
        <v>0</v>
      </c>
      <c r="V48" s="118">
        <f>'Lodge &amp; Pool'!L42</f>
        <v>0</v>
      </c>
      <c r="W48" s="118">
        <f>'Lodge &amp; Pool'!M42</f>
        <v>0</v>
      </c>
      <c r="X48" s="118">
        <f>'Lodge &amp; Pool'!N42</f>
        <v>0</v>
      </c>
      <c r="Y48" s="130">
        <f t="shared" si="0"/>
        <v>300</v>
      </c>
      <c r="Z48" s="113">
        <f t="shared" si="6"/>
        <v>0</v>
      </c>
    </row>
    <row r="49" spans="1:26" x14ac:dyDescent="0.25">
      <c r="A49" s="107"/>
      <c r="B49" s="107"/>
      <c r="C49" s="107"/>
      <c r="D49" s="107"/>
      <c r="E49" s="107"/>
      <c r="F49" s="132" t="s">
        <v>11</v>
      </c>
      <c r="G49" s="107"/>
      <c r="H49" s="118">
        <f>'Lodge &amp; Pool'!M14</f>
        <v>2000</v>
      </c>
      <c r="I49" s="118">
        <f>'Lodge &amp; Pool'!N14</f>
        <v>2029.9999999999998</v>
      </c>
      <c r="J49" s="118">
        <f>'Lodge &amp; Pool'!O14</f>
        <v>2060.4499999999994</v>
      </c>
      <c r="K49" s="118">
        <f>'Lodge &amp; Pool'!P14</f>
        <v>2091.356749999999</v>
      </c>
      <c r="L49" s="118">
        <f>'Lodge &amp; Pool'!Q14</f>
        <v>2122.7271012499987</v>
      </c>
      <c r="M49" s="118">
        <f>'Lodge &amp; Pool'!C43</f>
        <v>0</v>
      </c>
      <c r="N49" s="118">
        <f>'Lodge &amp; Pool'!D43</f>
        <v>0</v>
      </c>
      <c r="O49" s="118">
        <f>'Lodge &amp; Pool'!E43</f>
        <v>0</v>
      </c>
      <c r="P49" s="118">
        <f>'Lodge &amp; Pool'!F43</f>
        <v>0</v>
      </c>
      <c r="Q49" s="118">
        <f>'Lodge &amp; Pool'!G43</f>
        <v>1000</v>
      </c>
      <c r="R49" s="118">
        <f>'Lodge &amp; Pool'!H43</f>
        <v>0</v>
      </c>
      <c r="S49" s="118">
        <f>'Lodge &amp; Pool'!I43</f>
        <v>1000</v>
      </c>
      <c r="T49" s="118">
        <f>'Lodge &amp; Pool'!J43</f>
        <v>0</v>
      </c>
      <c r="U49" s="118">
        <f>'Lodge &amp; Pool'!K43</f>
        <v>0</v>
      </c>
      <c r="V49" s="118">
        <f>'Lodge &amp; Pool'!L43</f>
        <v>0</v>
      </c>
      <c r="W49" s="118">
        <f>'Lodge &amp; Pool'!M43</f>
        <v>0</v>
      </c>
      <c r="X49" s="118">
        <f>'Lodge &amp; Pool'!N43</f>
        <v>0</v>
      </c>
      <c r="Y49" s="130">
        <f t="shared" si="0"/>
        <v>2000</v>
      </c>
      <c r="Z49" s="113">
        <f t="shared" si="6"/>
        <v>0</v>
      </c>
    </row>
    <row r="50" spans="1:26" x14ac:dyDescent="0.25">
      <c r="A50" s="107"/>
      <c r="B50" s="107"/>
      <c r="C50" s="107"/>
      <c r="D50" s="107"/>
      <c r="E50" s="107"/>
      <c r="F50" s="132" t="s">
        <v>12</v>
      </c>
      <c r="G50" s="107"/>
      <c r="H50" s="118">
        <f>'Lodge &amp; Pool'!M15</f>
        <v>8000</v>
      </c>
      <c r="I50" s="118">
        <f>'Lodge &amp; Pool'!N15</f>
        <v>8240</v>
      </c>
      <c r="J50" s="118">
        <f>'Lodge &amp; Pool'!O15</f>
        <v>8487.2000000000007</v>
      </c>
      <c r="K50" s="118">
        <f>'Lodge &amp; Pool'!P15</f>
        <v>8741.8160000000007</v>
      </c>
      <c r="L50" s="118">
        <f>'Lodge &amp; Pool'!Q15</f>
        <v>9004.0704800000003</v>
      </c>
      <c r="M50" s="118">
        <f>'Lodge &amp; Pool'!C44</f>
        <v>0</v>
      </c>
      <c r="N50" s="118">
        <f>'Lodge &amp; Pool'!D44</f>
        <v>0</v>
      </c>
      <c r="O50" s="118">
        <f>'Lodge &amp; Pool'!E44</f>
        <v>0</v>
      </c>
      <c r="P50" s="118">
        <f>'Lodge &amp; Pool'!F44</f>
        <v>0</v>
      </c>
      <c r="Q50" s="118">
        <f>'Lodge &amp; Pool'!G44</f>
        <v>1000</v>
      </c>
      <c r="R50" s="118">
        <f>'Lodge &amp; Pool'!H44</f>
        <v>2500</v>
      </c>
      <c r="S50" s="118">
        <f>'Lodge &amp; Pool'!I44</f>
        <v>2500</v>
      </c>
      <c r="T50" s="118">
        <f>'Lodge &amp; Pool'!J44</f>
        <v>2000</v>
      </c>
      <c r="U50" s="118">
        <f>'Lodge &amp; Pool'!K44</f>
        <v>0</v>
      </c>
      <c r="V50" s="118">
        <f>'Lodge &amp; Pool'!L44</f>
        <v>0</v>
      </c>
      <c r="W50" s="118">
        <f>'Lodge &amp; Pool'!M44</f>
        <v>0</v>
      </c>
      <c r="X50" s="118">
        <f>'Lodge &amp; Pool'!N44</f>
        <v>0</v>
      </c>
      <c r="Y50" s="130">
        <f t="shared" si="0"/>
        <v>8000</v>
      </c>
      <c r="Z50" s="113">
        <f t="shared" si="6"/>
        <v>0</v>
      </c>
    </row>
    <row r="51" spans="1:26" x14ac:dyDescent="0.25">
      <c r="A51" s="107"/>
      <c r="B51" s="107"/>
      <c r="C51" s="107"/>
      <c r="D51" s="107"/>
      <c r="E51" s="107"/>
      <c r="F51" s="132" t="s">
        <v>13</v>
      </c>
      <c r="G51" s="107"/>
      <c r="H51" s="118">
        <f>'Lodge &amp; Pool'!M16</f>
        <v>9500</v>
      </c>
      <c r="I51" s="118">
        <f>'Lodge &amp; Pool'!N16</f>
        <v>13500</v>
      </c>
      <c r="J51" s="118">
        <f>'Lodge &amp; Pool'!O16</f>
        <v>28500</v>
      </c>
      <c r="K51" s="118">
        <f>'Lodge &amp; Pool'!P16</f>
        <v>8000</v>
      </c>
      <c r="L51" s="118">
        <f>'Lodge &amp; Pool'!Q16</f>
        <v>3500</v>
      </c>
      <c r="M51" s="118">
        <f>'Lodge &amp; Pool'!C45</f>
        <v>0</v>
      </c>
      <c r="N51" s="118">
        <f>'Lodge &amp; Pool'!D45</f>
        <v>0</v>
      </c>
      <c r="O51" s="118">
        <f>'Lodge &amp; Pool'!E45</f>
        <v>0</v>
      </c>
      <c r="P51" s="118">
        <f>'Lodge &amp; Pool'!F45</f>
        <v>0</v>
      </c>
      <c r="Q51" s="118">
        <f>'Lodge &amp; Pool'!G45</f>
        <v>9500</v>
      </c>
      <c r="R51" s="118">
        <f>'Lodge &amp; Pool'!H45</f>
        <v>0</v>
      </c>
      <c r="S51" s="118">
        <f>'Lodge &amp; Pool'!I45</f>
        <v>0</v>
      </c>
      <c r="T51" s="118">
        <f>'Lodge &amp; Pool'!J45</f>
        <v>0</v>
      </c>
      <c r="U51" s="118">
        <f>'Lodge &amp; Pool'!K45</f>
        <v>0</v>
      </c>
      <c r="V51" s="118">
        <f>'Lodge &amp; Pool'!L45</f>
        <v>0</v>
      </c>
      <c r="W51" s="118">
        <f>'Lodge &amp; Pool'!M45</f>
        <v>0</v>
      </c>
      <c r="X51" s="118">
        <f>'Lodge &amp; Pool'!N45</f>
        <v>0</v>
      </c>
      <c r="Y51" s="130">
        <f t="shared" si="0"/>
        <v>9500</v>
      </c>
      <c r="Z51" s="113">
        <f t="shared" si="6"/>
        <v>0</v>
      </c>
    </row>
    <row r="52" spans="1:26" x14ac:dyDescent="0.25">
      <c r="A52" s="107"/>
      <c r="B52" s="107"/>
      <c r="C52" s="107"/>
      <c r="D52" s="107"/>
      <c r="E52" s="107"/>
      <c r="F52" s="132" t="s">
        <v>14</v>
      </c>
      <c r="G52" s="107"/>
      <c r="H52" s="118">
        <f>'Lodge &amp; Pool'!M17</f>
        <v>0</v>
      </c>
      <c r="I52" s="118">
        <f>'Lodge &amp; Pool'!N17</f>
        <v>0</v>
      </c>
      <c r="J52" s="118">
        <f>'Lodge &amp; Pool'!O17</f>
        <v>0</v>
      </c>
      <c r="K52" s="118">
        <f>'Lodge &amp; Pool'!P17</f>
        <v>0</v>
      </c>
      <c r="L52" s="118">
        <f>'Lodge &amp; Pool'!Q17</f>
        <v>0</v>
      </c>
      <c r="M52" s="118">
        <f>'Lodge &amp; Pool'!C46</f>
        <v>0</v>
      </c>
      <c r="N52" s="118">
        <f>'Lodge &amp; Pool'!D46</f>
        <v>0</v>
      </c>
      <c r="O52" s="118">
        <f>'Lodge &amp; Pool'!E46</f>
        <v>0</v>
      </c>
      <c r="P52" s="118">
        <f>'Lodge &amp; Pool'!F46</f>
        <v>0</v>
      </c>
      <c r="Q52" s="118">
        <f>'Lodge &amp; Pool'!G46</f>
        <v>0</v>
      </c>
      <c r="R52" s="118">
        <f>'Lodge &amp; Pool'!H46</f>
        <v>0</v>
      </c>
      <c r="S52" s="118">
        <f>'Lodge &amp; Pool'!I46</f>
        <v>0</v>
      </c>
      <c r="T52" s="118">
        <f>'Lodge &amp; Pool'!J46</f>
        <v>0</v>
      </c>
      <c r="U52" s="118">
        <f>'Lodge &amp; Pool'!K46</f>
        <v>0</v>
      </c>
      <c r="V52" s="118">
        <f>'Lodge &amp; Pool'!L46</f>
        <v>0</v>
      </c>
      <c r="W52" s="118">
        <f>'Lodge &amp; Pool'!M46</f>
        <v>0</v>
      </c>
      <c r="X52" s="118">
        <f>'Lodge &amp; Pool'!N46</f>
        <v>0</v>
      </c>
      <c r="Y52" s="130">
        <f t="shared" si="0"/>
        <v>0</v>
      </c>
      <c r="Z52" s="113">
        <f t="shared" si="6"/>
        <v>0</v>
      </c>
    </row>
    <row r="53" spans="1:26" x14ac:dyDescent="0.25">
      <c r="A53" s="107"/>
      <c r="B53" s="107"/>
      <c r="C53" s="107"/>
      <c r="D53" s="107"/>
      <c r="E53" s="107"/>
      <c r="F53" s="132" t="s">
        <v>15</v>
      </c>
      <c r="G53" s="107"/>
      <c r="H53" s="118">
        <f>'Lodge &amp; Pool'!M18</f>
        <v>0</v>
      </c>
      <c r="I53" s="118">
        <f>'Lodge &amp; Pool'!N18</f>
        <v>0</v>
      </c>
      <c r="J53" s="118">
        <f>'Lodge &amp; Pool'!O18</f>
        <v>0</v>
      </c>
      <c r="K53" s="118">
        <f>'Lodge &amp; Pool'!P18</f>
        <v>0</v>
      </c>
      <c r="L53" s="118">
        <f>'Lodge &amp; Pool'!Q18</f>
        <v>0</v>
      </c>
      <c r="M53" s="118">
        <f>'Lodge &amp; Pool'!C47</f>
        <v>0</v>
      </c>
      <c r="N53" s="118">
        <f>'Lodge &amp; Pool'!D47</f>
        <v>0</v>
      </c>
      <c r="O53" s="118">
        <f>'Lodge &amp; Pool'!E47</f>
        <v>0</v>
      </c>
      <c r="P53" s="118">
        <f>'Lodge &amp; Pool'!F47</f>
        <v>0</v>
      </c>
      <c r="Q53" s="118">
        <f>'Lodge &amp; Pool'!G47</f>
        <v>0</v>
      </c>
      <c r="R53" s="118">
        <f>'Lodge &amp; Pool'!H47</f>
        <v>0</v>
      </c>
      <c r="S53" s="118">
        <f>'Lodge &amp; Pool'!I47</f>
        <v>0</v>
      </c>
      <c r="T53" s="118">
        <f>'Lodge &amp; Pool'!J47</f>
        <v>0</v>
      </c>
      <c r="U53" s="118">
        <f>'Lodge &amp; Pool'!K47</f>
        <v>0</v>
      </c>
      <c r="V53" s="118">
        <f>'Lodge &amp; Pool'!L47</f>
        <v>0</v>
      </c>
      <c r="W53" s="118">
        <f>'Lodge &amp; Pool'!M47</f>
        <v>0</v>
      </c>
      <c r="X53" s="118">
        <f>'Lodge &amp; Pool'!N47</f>
        <v>0</v>
      </c>
      <c r="Y53" s="130">
        <f t="shared" si="0"/>
        <v>0</v>
      </c>
      <c r="Z53" s="113">
        <f t="shared" si="6"/>
        <v>0</v>
      </c>
    </row>
    <row r="54" spans="1:26" x14ac:dyDescent="0.25">
      <c r="A54" s="107"/>
      <c r="B54" s="107"/>
      <c r="C54" s="107"/>
      <c r="D54" s="107"/>
      <c r="E54" s="107"/>
      <c r="F54" s="132" t="s">
        <v>16</v>
      </c>
      <c r="G54" s="107"/>
      <c r="H54" s="118">
        <f>'Lodge &amp; Pool'!M19</f>
        <v>0</v>
      </c>
      <c r="I54" s="118">
        <f>'Lodge &amp; Pool'!N19</f>
        <v>0</v>
      </c>
      <c r="J54" s="118">
        <f>'Lodge &amp; Pool'!O19</f>
        <v>0</v>
      </c>
      <c r="K54" s="118">
        <f>'Lodge &amp; Pool'!P19</f>
        <v>0</v>
      </c>
      <c r="L54" s="118">
        <f>'Lodge &amp; Pool'!Q19</f>
        <v>0</v>
      </c>
      <c r="M54" s="118">
        <f>'Lodge &amp; Pool'!C48</f>
        <v>0</v>
      </c>
      <c r="N54" s="118">
        <f>'Lodge &amp; Pool'!D48</f>
        <v>0</v>
      </c>
      <c r="O54" s="118">
        <f>'Lodge &amp; Pool'!E48</f>
        <v>0</v>
      </c>
      <c r="P54" s="118">
        <f>'Lodge &amp; Pool'!F48</f>
        <v>0</v>
      </c>
      <c r="Q54" s="118">
        <f>'Lodge &amp; Pool'!G48</f>
        <v>0</v>
      </c>
      <c r="R54" s="118">
        <f>'Lodge &amp; Pool'!H48</f>
        <v>0</v>
      </c>
      <c r="S54" s="118">
        <f>'Lodge &amp; Pool'!I48</f>
        <v>0</v>
      </c>
      <c r="T54" s="118">
        <f>'Lodge &amp; Pool'!J48</f>
        <v>0</v>
      </c>
      <c r="U54" s="118">
        <f>'Lodge &amp; Pool'!K48</f>
        <v>0</v>
      </c>
      <c r="V54" s="118">
        <f>'Lodge &amp; Pool'!L48</f>
        <v>0</v>
      </c>
      <c r="W54" s="118">
        <f>'Lodge &amp; Pool'!M48</f>
        <v>0</v>
      </c>
      <c r="X54" s="118">
        <f>'Lodge &amp; Pool'!N48</f>
        <v>0</v>
      </c>
      <c r="Y54" s="130">
        <f t="shared" si="0"/>
        <v>0</v>
      </c>
      <c r="Z54" s="113">
        <f t="shared" si="6"/>
        <v>0</v>
      </c>
    </row>
    <row r="55" spans="1:26" x14ac:dyDescent="0.25">
      <c r="A55" s="107"/>
      <c r="B55" s="107"/>
      <c r="C55" s="107"/>
      <c r="D55" s="107"/>
      <c r="E55" s="107"/>
      <c r="F55" s="132" t="s">
        <v>17</v>
      </c>
      <c r="G55" s="107"/>
      <c r="H55" s="118">
        <f>'Lodge &amp; Pool'!M20</f>
        <v>2000</v>
      </c>
      <c r="I55" s="118">
        <f>'Lodge &amp; Pool'!N20</f>
        <v>2060</v>
      </c>
      <c r="J55" s="118">
        <f>'Lodge &amp; Pool'!O20</f>
        <v>2121.8000000000002</v>
      </c>
      <c r="K55" s="118">
        <f>'Lodge &amp; Pool'!P20</f>
        <v>2185.4540000000002</v>
      </c>
      <c r="L55" s="118">
        <f>'Lodge &amp; Pool'!Q20</f>
        <v>2251.0176200000001</v>
      </c>
      <c r="M55" s="118">
        <f>'Lodge &amp; Pool'!C49</f>
        <v>0</v>
      </c>
      <c r="N55" s="118">
        <f>'Lodge &amp; Pool'!D49</f>
        <v>0</v>
      </c>
      <c r="O55" s="118">
        <f>'Lodge &amp; Pool'!E49</f>
        <v>0</v>
      </c>
      <c r="P55" s="118">
        <f>'Lodge &amp; Pool'!F49</f>
        <v>0</v>
      </c>
      <c r="Q55" s="118">
        <f>'Lodge &amp; Pool'!G49</f>
        <v>100</v>
      </c>
      <c r="R55" s="118">
        <f>'Lodge &amp; Pool'!H49</f>
        <v>800</v>
      </c>
      <c r="S55" s="118">
        <f>'Lodge &amp; Pool'!I49</f>
        <v>800</v>
      </c>
      <c r="T55" s="118">
        <f>'Lodge &amp; Pool'!J49</f>
        <v>300</v>
      </c>
      <c r="U55" s="118">
        <f>'Lodge &amp; Pool'!K49</f>
        <v>0</v>
      </c>
      <c r="V55" s="118">
        <f>'Lodge &amp; Pool'!L49</f>
        <v>0</v>
      </c>
      <c r="W55" s="118">
        <f>'Lodge &amp; Pool'!M49</f>
        <v>0</v>
      </c>
      <c r="X55" s="118">
        <f>'Lodge &amp; Pool'!N49</f>
        <v>0</v>
      </c>
      <c r="Y55" s="130">
        <f t="shared" si="0"/>
        <v>2000</v>
      </c>
      <c r="Z55" s="113">
        <f t="shared" si="6"/>
        <v>0</v>
      </c>
    </row>
    <row r="56" spans="1:26" x14ac:dyDescent="0.25">
      <c r="A56" s="107"/>
      <c r="B56" s="107"/>
      <c r="C56" s="107"/>
      <c r="D56" s="107"/>
      <c r="E56" s="107"/>
      <c r="F56" s="132" t="s">
        <v>18</v>
      </c>
      <c r="G56" s="107"/>
      <c r="H56" s="118">
        <f>'Lodge &amp; Pool'!M21</f>
        <v>0</v>
      </c>
      <c r="I56" s="118">
        <f>'Lodge &amp; Pool'!N21</f>
        <v>0</v>
      </c>
      <c r="J56" s="118">
        <f>'Lodge &amp; Pool'!O21</f>
        <v>0</v>
      </c>
      <c r="K56" s="118">
        <f>'Lodge &amp; Pool'!P21</f>
        <v>0</v>
      </c>
      <c r="L56" s="118">
        <f>'Lodge &amp; Pool'!Q21</f>
        <v>0</v>
      </c>
      <c r="M56" s="118">
        <f>'Lodge &amp; Pool'!C50</f>
        <v>0</v>
      </c>
      <c r="N56" s="118">
        <f>'Lodge &amp; Pool'!D50</f>
        <v>0</v>
      </c>
      <c r="O56" s="118">
        <f>'Lodge &amp; Pool'!E50</f>
        <v>0</v>
      </c>
      <c r="P56" s="118">
        <f>'Lodge &amp; Pool'!F50</f>
        <v>0</v>
      </c>
      <c r="Q56" s="118">
        <f>'Lodge &amp; Pool'!G50</f>
        <v>0</v>
      </c>
      <c r="R56" s="118">
        <f>'Lodge &amp; Pool'!H50</f>
        <v>0</v>
      </c>
      <c r="S56" s="118">
        <f>'Lodge &amp; Pool'!I50</f>
        <v>0</v>
      </c>
      <c r="T56" s="118">
        <f>'Lodge &amp; Pool'!J50</f>
        <v>0</v>
      </c>
      <c r="U56" s="118">
        <f>'Lodge &amp; Pool'!K50</f>
        <v>0</v>
      </c>
      <c r="V56" s="118">
        <f>'Lodge &amp; Pool'!L50</f>
        <v>0</v>
      </c>
      <c r="W56" s="118">
        <f>'Lodge &amp; Pool'!M50</f>
        <v>0</v>
      </c>
      <c r="X56" s="118">
        <f>'Lodge &amp; Pool'!N50</f>
        <v>0</v>
      </c>
      <c r="Y56" s="130">
        <f t="shared" si="0"/>
        <v>0</v>
      </c>
      <c r="Z56" s="113">
        <f t="shared" si="6"/>
        <v>0</v>
      </c>
    </row>
    <row r="57" spans="1:26" x14ac:dyDescent="0.25">
      <c r="A57" s="107"/>
      <c r="B57" s="107"/>
      <c r="C57" s="107"/>
      <c r="D57" s="107"/>
      <c r="E57" s="107"/>
      <c r="F57" s="132" t="s">
        <v>19</v>
      </c>
      <c r="G57" s="107"/>
      <c r="H57" s="118">
        <f>'Lodge &amp; Pool'!M22</f>
        <v>2210</v>
      </c>
      <c r="I57" s="118">
        <f>'Lodge &amp; Pool'!N22</f>
        <v>2276.3000000000002</v>
      </c>
      <c r="J57" s="118">
        <f>'Lodge &amp; Pool'!O22</f>
        <v>2344.5890000000004</v>
      </c>
      <c r="K57" s="118">
        <f>'Lodge &amp; Pool'!P22</f>
        <v>2414.9266700000003</v>
      </c>
      <c r="L57" s="118">
        <f>'Lodge &amp; Pool'!Q22</f>
        <v>2487.3744701000005</v>
      </c>
      <c r="M57" s="118">
        <f>'Lodge &amp; Pool'!C51</f>
        <v>170</v>
      </c>
      <c r="N57" s="118">
        <f>'Lodge &amp; Pool'!D51</f>
        <v>170</v>
      </c>
      <c r="O57" s="118">
        <f>'Lodge &amp; Pool'!E51</f>
        <v>160</v>
      </c>
      <c r="P57" s="118">
        <f>'Lodge &amp; Pool'!F51</f>
        <v>160</v>
      </c>
      <c r="Q57" s="118">
        <f>'Lodge &amp; Pool'!G51</f>
        <v>170</v>
      </c>
      <c r="R57" s="118">
        <f>'Lodge &amp; Pool'!H51</f>
        <v>170</v>
      </c>
      <c r="S57" s="118">
        <f>'Lodge &amp; Pool'!I51</f>
        <v>170</v>
      </c>
      <c r="T57" s="118">
        <f>'Lodge &amp; Pool'!J51</f>
        <v>170</v>
      </c>
      <c r="U57" s="118">
        <f>'Lodge &amp; Pool'!K51</f>
        <v>170</v>
      </c>
      <c r="V57" s="118">
        <f>'Lodge &amp; Pool'!L51</f>
        <v>170</v>
      </c>
      <c r="W57" s="118">
        <f>'Lodge &amp; Pool'!M51</f>
        <v>180</v>
      </c>
      <c r="X57" s="118">
        <f>'Lodge &amp; Pool'!N51</f>
        <v>350</v>
      </c>
      <c r="Y57" s="130">
        <f t="shared" si="0"/>
        <v>2210</v>
      </c>
      <c r="Z57" s="113">
        <f t="shared" si="6"/>
        <v>0</v>
      </c>
    </row>
    <row r="58" spans="1:26" x14ac:dyDescent="0.25">
      <c r="A58" s="107"/>
      <c r="B58" s="107"/>
      <c r="C58" s="107"/>
      <c r="D58" s="107"/>
      <c r="E58" s="107"/>
      <c r="F58" s="132" t="s">
        <v>20</v>
      </c>
      <c r="G58" s="107"/>
      <c r="H58" s="118">
        <f>'Lodge &amp; Pool'!M23</f>
        <v>0</v>
      </c>
      <c r="I58" s="118">
        <f>'Lodge &amp; Pool'!N23</f>
        <v>0</v>
      </c>
      <c r="J58" s="118">
        <f>'Lodge &amp; Pool'!O23</f>
        <v>0</v>
      </c>
      <c r="K58" s="118">
        <f>'Lodge &amp; Pool'!P23</f>
        <v>0</v>
      </c>
      <c r="L58" s="118">
        <f>'Lodge &amp; Pool'!Q23</f>
        <v>0</v>
      </c>
      <c r="M58" s="118">
        <f>'Lodge &amp; Pool'!C52</f>
        <v>0</v>
      </c>
      <c r="N58" s="118">
        <f>'Lodge &amp; Pool'!D52</f>
        <v>0</v>
      </c>
      <c r="O58" s="118">
        <f>'Lodge &amp; Pool'!E52</f>
        <v>0</v>
      </c>
      <c r="P58" s="118">
        <f>'Lodge &amp; Pool'!F52</f>
        <v>0</v>
      </c>
      <c r="Q58" s="118">
        <f>'Lodge &amp; Pool'!G52</f>
        <v>0</v>
      </c>
      <c r="R58" s="118">
        <f>'Lodge &amp; Pool'!H52</f>
        <v>0</v>
      </c>
      <c r="S58" s="118">
        <f>'Lodge &amp; Pool'!I52</f>
        <v>0</v>
      </c>
      <c r="T58" s="118">
        <f>'Lodge &amp; Pool'!J52</f>
        <v>0</v>
      </c>
      <c r="U58" s="118">
        <f>'Lodge &amp; Pool'!K52</f>
        <v>0</v>
      </c>
      <c r="V58" s="118">
        <f>'Lodge &amp; Pool'!L52</f>
        <v>0</v>
      </c>
      <c r="W58" s="118">
        <f>'Lodge &amp; Pool'!M52</f>
        <v>0</v>
      </c>
      <c r="X58" s="118">
        <f>'Lodge &amp; Pool'!N52</f>
        <v>0</v>
      </c>
      <c r="Y58" s="130">
        <f t="shared" si="0"/>
        <v>0</v>
      </c>
      <c r="Z58" s="113">
        <f t="shared" si="6"/>
        <v>0</v>
      </c>
    </row>
    <row r="59" spans="1:26" x14ac:dyDescent="0.25">
      <c r="A59" s="107"/>
      <c r="B59" s="107"/>
      <c r="C59" s="107"/>
      <c r="D59" s="107"/>
      <c r="E59" s="107"/>
      <c r="F59" s="132" t="s">
        <v>21</v>
      </c>
      <c r="G59" s="107"/>
      <c r="H59" s="118">
        <f>'Lodge &amp; Pool'!M24</f>
        <v>400</v>
      </c>
      <c r="I59" s="118">
        <f>'Lodge &amp; Pool'!N24</f>
        <v>405.99999999999994</v>
      </c>
      <c r="J59" s="118">
        <f>'Lodge &amp; Pool'!O24</f>
        <v>412.08999999999992</v>
      </c>
      <c r="K59" s="118">
        <f>'Lodge &amp; Pool'!P24</f>
        <v>418.27134999999987</v>
      </c>
      <c r="L59" s="118">
        <f>'Lodge &amp; Pool'!Q24</f>
        <v>424.54542024999984</v>
      </c>
      <c r="M59" s="118">
        <f>'Lodge &amp; Pool'!C53</f>
        <v>40</v>
      </c>
      <c r="N59" s="118">
        <f>'Lodge &amp; Pool'!D53</f>
        <v>40</v>
      </c>
      <c r="O59" s="118">
        <f>'Lodge &amp; Pool'!E53</f>
        <v>40</v>
      </c>
      <c r="P59" s="118">
        <f>'Lodge &amp; Pool'!F53</f>
        <v>40</v>
      </c>
      <c r="Q59" s="118">
        <f>'Lodge &amp; Pool'!G53</f>
        <v>40</v>
      </c>
      <c r="R59" s="118">
        <f>'Lodge &amp; Pool'!H53</f>
        <v>0</v>
      </c>
      <c r="S59" s="118">
        <f>'Lodge &amp; Pool'!I53</f>
        <v>40</v>
      </c>
      <c r="T59" s="118">
        <f>'Lodge &amp; Pool'!J53</f>
        <v>40</v>
      </c>
      <c r="U59" s="118">
        <f>'Lodge &amp; Pool'!K53</f>
        <v>40</v>
      </c>
      <c r="V59" s="118">
        <f>'Lodge &amp; Pool'!L53</f>
        <v>40</v>
      </c>
      <c r="W59" s="118">
        <f>'Lodge &amp; Pool'!M53</f>
        <v>0</v>
      </c>
      <c r="X59" s="118">
        <f>'Lodge &amp; Pool'!N53</f>
        <v>40</v>
      </c>
      <c r="Y59" s="130">
        <f t="shared" si="0"/>
        <v>400</v>
      </c>
      <c r="Z59" s="113">
        <f t="shared" si="6"/>
        <v>0</v>
      </c>
    </row>
    <row r="60" spans="1:26" ht="15.75" thickBot="1" x14ac:dyDescent="0.3">
      <c r="A60" s="107"/>
      <c r="B60" s="107"/>
      <c r="C60" s="107"/>
      <c r="D60" s="107"/>
      <c r="E60" s="107"/>
      <c r="F60" s="132" t="s">
        <v>22</v>
      </c>
      <c r="G60" s="107"/>
      <c r="H60" s="134">
        <f>'Lodge &amp; Pool'!M25</f>
        <v>2000</v>
      </c>
      <c r="I60" s="134">
        <f>'Lodge &amp; Pool'!N25</f>
        <v>1000</v>
      </c>
      <c r="J60" s="134">
        <f>'Lodge &amp; Pool'!O25</f>
        <v>1000</v>
      </c>
      <c r="K60" s="134">
        <f>'Lodge &amp; Pool'!P25</f>
        <v>1000</v>
      </c>
      <c r="L60" s="134">
        <f>'Lodge &amp; Pool'!Q25</f>
        <v>1000</v>
      </c>
      <c r="M60" s="134">
        <f>'Lodge &amp; Pool'!C54</f>
        <v>0</v>
      </c>
      <c r="N60" s="134">
        <f>'Lodge &amp; Pool'!D54</f>
        <v>0</v>
      </c>
      <c r="O60" s="134">
        <f>'Lodge &amp; Pool'!E54</f>
        <v>0</v>
      </c>
      <c r="P60" s="134">
        <f>'Lodge &amp; Pool'!F54</f>
        <v>500</v>
      </c>
      <c r="Q60" s="134">
        <f>'Lodge &amp; Pool'!G54</f>
        <v>500</v>
      </c>
      <c r="R60" s="134">
        <f>'Lodge &amp; Pool'!H54</f>
        <v>500</v>
      </c>
      <c r="S60" s="134">
        <f>'Lodge &amp; Pool'!I54</f>
        <v>500</v>
      </c>
      <c r="T60" s="134">
        <f>'Lodge &amp; Pool'!J54</f>
        <v>0</v>
      </c>
      <c r="U60" s="134">
        <f>'Lodge &amp; Pool'!K54</f>
        <v>0</v>
      </c>
      <c r="V60" s="134">
        <f>'Lodge &amp; Pool'!L54</f>
        <v>0</v>
      </c>
      <c r="W60" s="134">
        <f>'Lodge &amp; Pool'!M54</f>
        <v>0</v>
      </c>
      <c r="X60" s="134">
        <f>'Lodge &amp; Pool'!N54</f>
        <v>0</v>
      </c>
      <c r="Y60" s="135">
        <f t="shared" si="0"/>
        <v>2000</v>
      </c>
      <c r="Z60" s="113">
        <f t="shared" si="6"/>
        <v>0</v>
      </c>
    </row>
    <row r="61" spans="1:26" x14ac:dyDescent="0.25">
      <c r="A61" s="107"/>
      <c r="B61" s="107"/>
      <c r="C61" s="107"/>
      <c r="D61" s="107"/>
      <c r="E61" s="107" t="s">
        <v>23</v>
      </c>
      <c r="F61" s="107"/>
      <c r="G61" s="107"/>
      <c r="H61" s="118">
        <f>ROUND(SUM(H39:H60),5)</f>
        <v>42210</v>
      </c>
      <c r="I61" s="118">
        <f t="shared" ref="I61:Y61" si="7">ROUND(SUM(I39:I60),5)</f>
        <v>47808.3</v>
      </c>
      <c r="J61" s="118">
        <f t="shared" si="7"/>
        <v>56319.703999999998</v>
      </c>
      <c r="K61" s="118">
        <f t="shared" si="7"/>
        <v>36344.577449999997</v>
      </c>
      <c r="L61" s="118">
        <f t="shared" si="7"/>
        <v>32383.296330000001</v>
      </c>
      <c r="M61" s="118">
        <f t="shared" si="7"/>
        <v>510</v>
      </c>
      <c r="N61" s="118">
        <f t="shared" si="7"/>
        <v>510</v>
      </c>
      <c r="O61" s="118">
        <f t="shared" si="7"/>
        <v>500</v>
      </c>
      <c r="P61" s="118">
        <f t="shared" si="7"/>
        <v>1000</v>
      </c>
      <c r="Q61" s="118">
        <f t="shared" si="7"/>
        <v>19685</v>
      </c>
      <c r="R61" s="118">
        <f t="shared" si="7"/>
        <v>6045</v>
      </c>
      <c r="S61" s="118">
        <f t="shared" si="7"/>
        <v>7085</v>
      </c>
      <c r="T61" s="118">
        <f t="shared" si="7"/>
        <v>3285</v>
      </c>
      <c r="U61" s="118">
        <f t="shared" si="7"/>
        <v>885</v>
      </c>
      <c r="V61" s="118">
        <f t="shared" si="7"/>
        <v>785</v>
      </c>
      <c r="W61" s="118">
        <f t="shared" si="7"/>
        <v>780</v>
      </c>
      <c r="X61" s="118">
        <f t="shared" si="7"/>
        <v>1140</v>
      </c>
      <c r="Y61" s="118">
        <f t="shared" si="7"/>
        <v>42210</v>
      </c>
      <c r="Z61" s="113">
        <f t="shared" si="6"/>
        <v>0</v>
      </c>
    </row>
    <row r="62" spans="1:26" x14ac:dyDescent="0.25">
      <c r="A62" s="107"/>
      <c r="B62" s="107"/>
      <c r="C62" s="107"/>
      <c r="D62" s="107"/>
      <c r="E62" s="107" t="s">
        <v>161</v>
      </c>
      <c r="F62" s="107"/>
      <c r="G62" s="107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30"/>
    </row>
    <row r="63" spans="1:26" x14ac:dyDescent="0.25">
      <c r="A63" s="107"/>
      <c r="B63" s="107"/>
      <c r="C63" s="107"/>
      <c r="D63" s="107"/>
      <c r="E63" s="107"/>
      <c r="F63" s="107" t="s">
        <v>40</v>
      </c>
      <c r="G63" s="107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30"/>
    </row>
    <row r="64" spans="1:26" x14ac:dyDescent="0.25">
      <c r="A64" s="107"/>
      <c r="B64" s="107"/>
      <c r="C64" s="107"/>
      <c r="D64" s="107"/>
      <c r="E64" s="107"/>
      <c r="F64" s="132" t="s">
        <v>41</v>
      </c>
      <c r="H64" s="118">
        <f>Beach!M4</f>
        <v>200</v>
      </c>
      <c r="I64" s="118">
        <f>Beach!N4</f>
        <v>1200</v>
      </c>
      <c r="J64" s="118">
        <f>Beach!O4</f>
        <v>100</v>
      </c>
      <c r="K64" s="118">
        <f>Beach!P4</f>
        <v>1200</v>
      </c>
      <c r="L64" s="118">
        <f>Beach!Q4</f>
        <v>100</v>
      </c>
      <c r="M64" s="133">
        <f>Beach!C20</f>
        <v>0</v>
      </c>
      <c r="N64" s="133">
        <f>Beach!D20</f>
        <v>0</v>
      </c>
      <c r="O64" s="133">
        <f>Beach!E20</f>
        <v>0</v>
      </c>
      <c r="P64" s="133">
        <f>Beach!F20</f>
        <v>0</v>
      </c>
      <c r="Q64" s="133">
        <f>Beach!G20</f>
        <v>200</v>
      </c>
      <c r="R64" s="133">
        <f>Beach!H20</f>
        <v>0</v>
      </c>
      <c r="S64" s="133">
        <f>Beach!I20</f>
        <v>0</v>
      </c>
      <c r="T64" s="133">
        <f>Beach!J20</f>
        <v>0</v>
      </c>
      <c r="U64" s="133">
        <f>Beach!K20</f>
        <v>0</v>
      </c>
      <c r="V64" s="133">
        <f>Beach!L20</f>
        <v>0</v>
      </c>
      <c r="W64" s="133">
        <f>Beach!M20</f>
        <v>0</v>
      </c>
      <c r="X64" s="133">
        <f>Beach!N20</f>
        <v>0</v>
      </c>
      <c r="Y64" s="130">
        <f t="shared" si="0"/>
        <v>200</v>
      </c>
      <c r="Z64" s="113">
        <f t="shared" ref="Z64:Z74" si="8">ROUND(Y64-H64,0)</f>
        <v>0</v>
      </c>
    </row>
    <row r="65" spans="1:26" x14ac:dyDescent="0.25">
      <c r="A65" s="107"/>
      <c r="B65" s="107"/>
      <c r="C65" s="107"/>
      <c r="D65" s="107"/>
      <c r="E65" s="107"/>
      <c r="F65" s="132" t="s">
        <v>42</v>
      </c>
      <c r="H65" s="118">
        <f>Beach!M5</f>
        <v>1500</v>
      </c>
      <c r="I65" s="118">
        <f>Beach!N5</f>
        <v>1500</v>
      </c>
      <c r="J65" s="118">
        <f>Beach!O5</f>
        <v>250</v>
      </c>
      <c r="K65" s="118">
        <f>Beach!P5</f>
        <v>250</v>
      </c>
      <c r="L65" s="118">
        <f>Beach!Q5</f>
        <v>250</v>
      </c>
      <c r="M65" s="133">
        <f>Beach!C21</f>
        <v>0</v>
      </c>
      <c r="N65" s="133">
        <f>Beach!D21</f>
        <v>0</v>
      </c>
      <c r="O65" s="133">
        <f>Beach!E21</f>
        <v>600</v>
      </c>
      <c r="P65" s="133">
        <f>Beach!F21</f>
        <v>600</v>
      </c>
      <c r="Q65" s="133">
        <f>Beach!G21</f>
        <v>300</v>
      </c>
      <c r="R65" s="133">
        <f>Beach!H21</f>
        <v>0</v>
      </c>
      <c r="S65" s="133">
        <f>Beach!I21</f>
        <v>0</v>
      </c>
      <c r="T65" s="133">
        <f>Beach!J21</f>
        <v>0</v>
      </c>
      <c r="U65" s="133">
        <f>Beach!K21</f>
        <v>0</v>
      </c>
      <c r="V65" s="133">
        <f>Beach!L21</f>
        <v>0</v>
      </c>
      <c r="W65" s="133">
        <f>Beach!M21</f>
        <v>0</v>
      </c>
      <c r="X65" s="133">
        <f>Beach!N21</f>
        <v>0</v>
      </c>
      <c r="Y65" s="130">
        <f t="shared" si="0"/>
        <v>1500</v>
      </c>
      <c r="Z65" s="113">
        <f t="shared" si="8"/>
        <v>0</v>
      </c>
    </row>
    <row r="66" spans="1:26" x14ac:dyDescent="0.25">
      <c r="A66" s="107"/>
      <c r="B66" s="107"/>
      <c r="C66" s="107"/>
      <c r="D66" s="107"/>
      <c r="E66" s="107"/>
      <c r="F66" s="132" t="s">
        <v>43</v>
      </c>
      <c r="H66" s="118">
        <f>Beach!M6</f>
        <v>900</v>
      </c>
      <c r="I66" s="118">
        <f>Beach!N6</f>
        <v>900</v>
      </c>
      <c r="J66" s="118">
        <f>Beach!O6</f>
        <v>250</v>
      </c>
      <c r="K66" s="118">
        <f>Beach!P6</f>
        <v>250</v>
      </c>
      <c r="L66" s="118">
        <f>Beach!Q6</f>
        <v>250</v>
      </c>
      <c r="M66" s="133">
        <f>Beach!C22</f>
        <v>0</v>
      </c>
      <c r="N66" s="133">
        <f>Beach!D22</f>
        <v>0</v>
      </c>
      <c r="O66" s="133">
        <f>Beach!E22</f>
        <v>0</v>
      </c>
      <c r="P66" s="133">
        <f>Beach!F22</f>
        <v>0</v>
      </c>
      <c r="Q66" s="133">
        <f>Beach!G22</f>
        <v>300</v>
      </c>
      <c r="R66" s="133">
        <f>Beach!H22</f>
        <v>300</v>
      </c>
      <c r="S66" s="133">
        <f>Beach!I22</f>
        <v>300</v>
      </c>
      <c r="T66" s="133">
        <f>Beach!J22</f>
        <v>0</v>
      </c>
      <c r="U66" s="133">
        <f>Beach!K22</f>
        <v>0</v>
      </c>
      <c r="V66" s="133">
        <f>Beach!L22</f>
        <v>0</v>
      </c>
      <c r="W66" s="133">
        <f>Beach!M22</f>
        <v>0</v>
      </c>
      <c r="X66" s="133">
        <f>Beach!N22</f>
        <v>0</v>
      </c>
      <c r="Y66" s="130">
        <f t="shared" si="0"/>
        <v>900</v>
      </c>
      <c r="Z66" s="113">
        <f t="shared" si="8"/>
        <v>0</v>
      </c>
    </row>
    <row r="67" spans="1:26" x14ac:dyDescent="0.25">
      <c r="A67" s="107"/>
      <c r="B67" s="107"/>
      <c r="C67" s="107"/>
      <c r="D67" s="107"/>
      <c r="E67" s="107"/>
      <c r="F67" s="132" t="s">
        <v>44</v>
      </c>
      <c r="H67" s="118">
        <f>Beach!M7</f>
        <v>0</v>
      </c>
      <c r="I67" s="118">
        <f>Beach!N7</f>
        <v>0</v>
      </c>
      <c r="J67" s="118">
        <f>Beach!O7</f>
        <v>0</v>
      </c>
      <c r="K67" s="118">
        <f>Beach!P7</f>
        <v>0</v>
      </c>
      <c r="L67" s="118">
        <f>Beach!Q7</f>
        <v>0</v>
      </c>
      <c r="M67" s="133">
        <f>Beach!C23</f>
        <v>0</v>
      </c>
      <c r="N67" s="133">
        <f>Beach!D23</f>
        <v>0</v>
      </c>
      <c r="O67" s="133">
        <f>Beach!E23</f>
        <v>0</v>
      </c>
      <c r="P67" s="133">
        <f>Beach!F23</f>
        <v>0</v>
      </c>
      <c r="Q67" s="133">
        <f>Beach!G23</f>
        <v>0</v>
      </c>
      <c r="R67" s="133">
        <f>Beach!H23</f>
        <v>0</v>
      </c>
      <c r="S67" s="133">
        <f>Beach!I23</f>
        <v>0</v>
      </c>
      <c r="T67" s="133">
        <f>Beach!J23</f>
        <v>0</v>
      </c>
      <c r="U67" s="133">
        <f>Beach!K23</f>
        <v>0</v>
      </c>
      <c r="V67" s="133">
        <f>Beach!L23</f>
        <v>0</v>
      </c>
      <c r="W67" s="133">
        <f>Beach!M23</f>
        <v>0</v>
      </c>
      <c r="X67" s="133">
        <f>Beach!N23</f>
        <v>0</v>
      </c>
      <c r="Y67" s="130">
        <f t="shared" si="0"/>
        <v>0</v>
      </c>
      <c r="Z67" s="113">
        <f t="shared" si="8"/>
        <v>0</v>
      </c>
    </row>
    <row r="68" spans="1:26" x14ac:dyDescent="0.25">
      <c r="A68" s="107"/>
      <c r="B68" s="107"/>
      <c r="C68" s="107"/>
      <c r="D68" s="107"/>
      <c r="E68" s="107"/>
      <c r="F68" s="132" t="s">
        <v>45</v>
      </c>
      <c r="H68" s="118">
        <f>Beach!M8</f>
        <v>900</v>
      </c>
      <c r="I68" s="118">
        <f>Beach!N8</f>
        <v>913.49999999999989</v>
      </c>
      <c r="J68" s="118">
        <f>Beach!O8</f>
        <v>927.20249999999976</v>
      </c>
      <c r="K68" s="118">
        <f>Beach!P8</f>
        <v>941.11053749999962</v>
      </c>
      <c r="L68" s="118">
        <f>Beach!Q8</f>
        <v>955.22719556249956</v>
      </c>
      <c r="M68" s="133">
        <f>Beach!C24</f>
        <v>75</v>
      </c>
      <c r="N68" s="133">
        <f>Beach!D24</f>
        <v>75</v>
      </c>
      <c r="O68" s="133">
        <f>Beach!E24</f>
        <v>75</v>
      </c>
      <c r="P68" s="133">
        <f>Beach!F24</f>
        <v>75</v>
      </c>
      <c r="Q68" s="133">
        <f>Beach!G24</f>
        <v>75</v>
      </c>
      <c r="R68" s="133">
        <f>Beach!H24</f>
        <v>75</v>
      </c>
      <c r="S68" s="133">
        <f>Beach!I24</f>
        <v>75</v>
      </c>
      <c r="T68" s="133">
        <f>Beach!J24</f>
        <v>75</v>
      </c>
      <c r="U68" s="133">
        <f>Beach!K24</f>
        <v>75</v>
      </c>
      <c r="V68" s="133">
        <f>Beach!L24</f>
        <v>75</v>
      </c>
      <c r="W68" s="133">
        <f>Beach!M24</f>
        <v>75</v>
      </c>
      <c r="X68" s="133">
        <f>Beach!N24</f>
        <v>75</v>
      </c>
      <c r="Y68" s="130">
        <f t="shared" si="0"/>
        <v>900</v>
      </c>
      <c r="Z68" s="113">
        <f t="shared" si="8"/>
        <v>0</v>
      </c>
    </row>
    <row r="69" spans="1:26" x14ac:dyDescent="0.25">
      <c r="A69" s="107"/>
      <c r="B69" s="107"/>
      <c r="C69" s="107"/>
      <c r="D69" s="107"/>
      <c r="E69" s="107"/>
      <c r="F69" s="132" t="s">
        <v>46</v>
      </c>
      <c r="H69" s="118">
        <f>Beach!M9</f>
        <v>300</v>
      </c>
      <c r="I69" s="118">
        <f>Beach!N9</f>
        <v>304.49999999999994</v>
      </c>
      <c r="J69" s="118">
        <f>Beach!O9</f>
        <v>309.06749999999994</v>
      </c>
      <c r="K69" s="118">
        <f>Beach!P9</f>
        <v>313.70351249999993</v>
      </c>
      <c r="L69" s="118">
        <f>Beach!Q9</f>
        <v>318.40906518749989</v>
      </c>
      <c r="M69" s="133">
        <f>Beach!C25</f>
        <v>25</v>
      </c>
      <c r="N69" s="133">
        <f>Beach!D25</f>
        <v>25</v>
      </c>
      <c r="O69" s="133">
        <f>Beach!E25</f>
        <v>25</v>
      </c>
      <c r="P69" s="133">
        <f>Beach!F25</f>
        <v>25</v>
      </c>
      <c r="Q69" s="133">
        <f>Beach!G25</f>
        <v>25</v>
      </c>
      <c r="R69" s="133">
        <f>Beach!H25</f>
        <v>25</v>
      </c>
      <c r="S69" s="133">
        <f>Beach!I25</f>
        <v>25</v>
      </c>
      <c r="T69" s="133">
        <f>Beach!J25</f>
        <v>25</v>
      </c>
      <c r="U69" s="133">
        <f>Beach!K25</f>
        <v>25</v>
      </c>
      <c r="V69" s="133">
        <f>Beach!L25</f>
        <v>25</v>
      </c>
      <c r="W69" s="133">
        <f>Beach!M25</f>
        <v>25</v>
      </c>
      <c r="X69" s="133">
        <f>Beach!N25</f>
        <v>25</v>
      </c>
      <c r="Y69" s="130">
        <f t="shared" si="0"/>
        <v>300</v>
      </c>
      <c r="Z69" s="113">
        <f t="shared" si="8"/>
        <v>0</v>
      </c>
    </row>
    <row r="70" spans="1:26" x14ac:dyDescent="0.25">
      <c r="A70" s="107"/>
      <c r="B70" s="107"/>
      <c r="C70" s="107"/>
      <c r="D70" s="107"/>
      <c r="E70" s="107"/>
      <c r="F70" s="132" t="s">
        <v>47</v>
      </c>
      <c r="H70" s="118">
        <f>Beach!M10</f>
        <v>480</v>
      </c>
      <c r="I70" s="118">
        <f>Beach!N10</f>
        <v>487.19999999999993</v>
      </c>
      <c r="J70" s="118">
        <f>Beach!O10</f>
        <v>494.50799999999987</v>
      </c>
      <c r="K70" s="118">
        <f>Beach!P10</f>
        <v>501.92561999999981</v>
      </c>
      <c r="L70" s="118">
        <f>Beach!Q10</f>
        <v>509.45450429999977</v>
      </c>
      <c r="M70" s="133">
        <f>Beach!C26</f>
        <v>40</v>
      </c>
      <c r="N70" s="133">
        <f>Beach!D26</f>
        <v>40</v>
      </c>
      <c r="O70" s="133">
        <f>Beach!E26</f>
        <v>40</v>
      </c>
      <c r="P70" s="133">
        <f>Beach!F26</f>
        <v>40</v>
      </c>
      <c r="Q70" s="133">
        <f>Beach!G26</f>
        <v>40</v>
      </c>
      <c r="R70" s="133">
        <f>Beach!H26</f>
        <v>40</v>
      </c>
      <c r="S70" s="133">
        <f>Beach!I26</f>
        <v>40</v>
      </c>
      <c r="T70" s="133">
        <f>Beach!J26</f>
        <v>40</v>
      </c>
      <c r="U70" s="133">
        <f>Beach!K26</f>
        <v>40</v>
      </c>
      <c r="V70" s="133">
        <f>Beach!L26</f>
        <v>40</v>
      </c>
      <c r="W70" s="133">
        <f>Beach!M26</f>
        <v>40</v>
      </c>
      <c r="X70" s="133">
        <f>Beach!N26</f>
        <v>40</v>
      </c>
      <c r="Y70" s="130">
        <f t="shared" si="0"/>
        <v>480</v>
      </c>
      <c r="Z70" s="113">
        <f t="shared" si="8"/>
        <v>0</v>
      </c>
    </row>
    <row r="71" spans="1:26" x14ac:dyDescent="0.25">
      <c r="A71" s="107"/>
      <c r="B71" s="107"/>
      <c r="C71" s="107"/>
      <c r="D71" s="107"/>
      <c r="E71" s="107"/>
      <c r="F71" s="132" t="s">
        <v>48</v>
      </c>
      <c r="H71" s="118">
        <f>Beach!M11</f>
        <v>300</v>
      </c>
      <c r="I71" s="118">
        <f>Beach!N11</f>
        <v>304.49999999999994</v>
      </c>
      <c r="J71" s="118">
        <f>Beach!O11</f>
        <v>309.06749999999994</v>
      </c>
      <c r="K71" s="118">
        <f>Beach!P11</f>
        <v>313.70351249999993</v>
      </c>
      <c r="L71" s="118">
        <f>Beach!Q11</f>
        <v>318.40906518749989</v>
      </c>
      <c r="M71" s="133">
        <f>Beach!C27</f>
        <v>0</v>
      </c>
      <c r="N71" s="133">
        <f>Beach!D27</f>
        <v>0</v>
      </c>
      <c r="O71" s="133">
        <f>Beach!E27</f>
        <v>0</v>
      </c>
      <c r="P71" s="133">
        <f>Beach!F27</f>
        <v>300</v>
      </c>
      <c r="Q71" s="133">
        <f>Beach!G27</f>
        <v>0</v>
      </c>
      <c r="R71" s="133">
        <f>Beach!H27</f>
        <v>0</v>
      </c>
      <c r="S71" s="133">
        <f>Beach!I27</f>
        <v>0</v>
      </c>
      <c r="T71" s="133">
        <f>Beach!J27</f>
        <v>0</v>
      </c>
      <c r="U71" s="133">
        <f>Beach!K27</f>
        <v>0</v>
      </c>
      <c r="V71" s="133">
        <f>Beach!L27</f>
        <v>0</v>
      </c>
      <c r="W71" s="133">
        <f>Beach!M27</f>
        <v>0</v>
      </c>
      <c r="X71" s="133">
        <f>Beach!N27</f>
        <v>0</v>
      </c>
      <c r="Y71" s="130">
        <f t="shared" ref="Y71:Y134" si="9">SUM(M71:X71)</f>
        <v>300</v>
      </c>
      <c r="Z71" s="113">
        <f t="shared" si="8"/>
        <v>0</v>
      </c>
    </row>
    <row r="72" spans="1:26" x14ac:dyDescent="0.25">
      <c r="A72" s="107"/>
      <c r="B72" s="107"/>
      <c r="C72" s="107"/>
      <c r="D72" s="107"/>
      <c r="E72" s="107"/>
      <c r="F72" s="132" t="s">
        <v>49</v>
      </c>
      <c r="H72" s="118">
        <f>Beach!M12</f>
        <v>0</v>
      </c>
      <c r="I72" s="118">
        <f>Beach!N12</f>
        <v>0</v>
      </c>
      <c r="J72" s="118">
        <f>Beach!O12</f>
        <v>0</v>
      </c>
      <c r="K72" s="118">
        <f>Beach!P12</f>
        <v>0</v>
      </c>
      <c r="L72" s="118">
        <f>Beach!Q12</f>
        <v>0</v>
      </c>
      <c r="M72" s="133">
        <f>Beach!C28</f>
        <v>0</v>
      </c>
      <c r="N72" s="133">
        <f>Beach!D28</f>
        <v>0</v>
      </c>
      <c r="O72" s="133">
        <f>Beach!E28</f>
        <v>0</v>
      </c>
      <c r="P72" s="133">
        <f>Beach!F28</f>
        <v>0</v>
      </c>
      <c r="Q72" s="133">
        <f>Beach!G28</f>
        <v>0</v>
      </c>
      <c r="R72" s="133">
        <f>Beach!H28</f>
        <v>0</v>
      </c>
      <c r="S72" s="133">
        <f>Beach!I28</f>
        <v>0</v>
      </c>
      <c r="T72" s="133">
        <f>Beach!J28</f>
        <v>0</v>
      </c>
      <c r="U72" s="133">
        <f>Beach!K28</f>
        <v>0</v>
      </c>
      <c r="V72" s="133">
        <f>Beach!L28</f>
        <v>0</v>
      </c>
      <c r="W72" s="133">
        <f>Beach!M28</f>
        <v>0</v>
      </c>
      <c r="X72" s="133">
        <f>Beach!N28</f>
        <v>0</v>
      </c>
      <c r="Y72" s="130">
        <f t="shared" si="9"/>
        <v>0</v>
      </c>
      <c r="Z72" s="113">
        <f t="shared" si="8"/>
        <v>0</v>
      </c>
    </row>
    <row r="73" spans="1:26" ht="15.75" thickBot="1" x14ac:dyDescent="0.3">
      <c r="A73" s="107"/>
      <c r="B73" s="107"/>
      <c r="C73" s="107"/>
      <c r="D73" s="107"/>
      <c r="E73" s="107"/>
      <c r="F73" s="132" t="s">
        <v>50</v>
      </c>
      <c r="H73" s="134">
        <f>Beach!M13</f>
        <v>0</v>
      </c>
      <c r="I73" s="134">
        <f>Beach!N13</f>
        <v>0</v>
      </c>
      <c r="J73" s="134">
        <f>Beach!O13</f>
        <v>0</v>
      </c>
      <c r="K73" s="134">
        <f>Beach!P13</f>
        <v>0</v>
      </c>
      <c r="L73" s="134">
        <f>Beach!Q13</f>
        <v>0</v>
      </c>
      <c r="M73" s="134">
        <f>Beach!C29</f>
        <v>0</v>
      </c>
      <c r="N73" s="134">
        <f>Beach!D29</f>
        <v>0</v>
      </c>
      <c r="O73" s="134">
        <f>Beach!E29</f>
        <v>0</v>
      </c>
      <c r="P73" s="134">
        <f>Beach!F29</f>
        <v>0</v>
      </c>
      <c r="Q73" s="134">
        <f>Beach!G29</f>
        <v>0</v>
      </c>
      <c r="R73" s="134">
        <f>Beach!H29</f>
        <v>0</v>
      </c>
      <c r="S73" s="134">
        <f>Beach!I29</f>
        <v>0</v>
      </c>
      <c r="T73" s="134">
        <f>Beach!J29</f>
        <v>0</v>
      </c>
      <c r="U73" s="134">
        <f>Beach!K29</f>
        <v>0</v>
      </c>
      <c r="V73" s="134">
        <f>Beach!L29</f>
        <v>0</v>
      </c>
      <c r="W73" s="134">
        <f>Beach!M29</f>
        <v>0</v>
      </c>
      <c r="X73" s="134">
        <f>Beach!N29</f>
        <v>0</v>
      </c>
      <c r="Y73" s="135">
        <f t="shared" si="9"/>
        <v>0</v>
      </c>
      <c r="Z73" s="113">
        <f t="shared" si="8"/>
        <v>0</v>
      </c>
    </row>
    <row r="74" spans="1:26" x14ac:dyDescent="0.25">
      <c r="A74" s="107"/>
      <c r="B74" s="107"/>
      <c r="C74" s="107"/>
      <c r="D74" s="107"/>
      <c r="E74" s="107"/>
      <c r="F74" s="107" t="s">
        <v>51</v>
      </c>
      <c r="G74" s="107"/>
      <c r="H74" s="118">
        <f>ROUND(SUM(H64:H73),5)</f>
        <v>4580</v>
      </c>
      <c r="I74" s="118">
        <f t="shared" ref="I74:Y74" si="10">ROUND(SUM(I64:I73),5)</f>
        <v>5609.7</v>
      </c>
      <c r="J74" s="118">
        <f t="shared" si="10"/>
        <v>2639.8454999999999</v>
      </c>
      <c r="K74" s="118">
        <f t="shared" si="10"/>
        <v>3770.4431800000002</v>
      </c>
      <c r="L74" s="118">
        <f t="shared" si="10"/>
        <v>2701.4998300000002</v>
      </c>
      <c r="M74" s="118">
        <f t="shared" si="10"/>
        <v>140</v>
      </c>
      <c r="N74" s="118">
        <f t="shared" si="10"/>
        <v>140</v>
      </c>
      <c r="O74" s="118">
        <f t="shared" si="10"/>
        <v>740</v>
      </c>
      <c r="P74" s="118">
        <f t="shared" si="10"/>
        <v>1040</v>
      </c>
      <c r="Q74" s="118">
        <f t="shared" si="10"/>
        <v>940</v>
      </c>
      <c r="R74" s="118">
        <f t="shared" si="10"/>
        <v>440</v>
      </c>
      <c r="S74" s="118">
        <f t="shared" si="10"/>
        <v>440</v>
      </c>
      <c r="T74" s="118">
        <f t="shared" si="10"/>
        <v>140</v>
      </c>
      <c r="U74" s="118">
        <f t="shared" si="10"/>
        <v>140</v>
      </c>
      <c r="V74" s="118">
        <f t="shared" si="10"/>
        <v>140</v>
      </c>
      <c r="W74" s="118">
        <f t="shared" si="10"/>
        <v>140</v>
      </c>
      <c r="X74" s="118">
        <f t="shared" si="10"/>
        <v>140</v>
      </c>
      <c r="Y74" s="118">
        <f t="shared" si="10"/>
        <v>4580</v>
      </c>
      <c r="Z74" s="113">
        <f t="shared" si="8"/>
        <v>0</v>
      </c>
    </row>
    <row r="75" spans="1:26" x14ac:dyDescent="0.25">
      <c r="A75" s="107"/>
      <c r="B75" s="107"/>
      <c r="C75" s="107"/>
      <c r="D75" s="107"/>
      <c r="E75" s="107"/>
      <c r="F75" s="107" t="s">
        <v>32</v>
      </c>
      <c r="G75" s="107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30"/>
    </row>
    <row r="76" spans="1:26" x14ac:dyDescent="0.25">
      <c r="A76" s="107"/>
      <c r="B76" s="107"/>
      <c r="C76" s="107"/>
      <c r="D76" s="107"/>
      <c r="E76" s="107"/>
      <c r="F76" s="132" t="s">
        <v>33</v>
      </c>
      <c r="G76" s="107"/>
      <c r="H76" s="118">
        <f>Campground!M4</f>
        <v>900</v>
      </c>
      <c r="I76" s="118">
        <f>Campground!N4</f>
        <v>913.49999999999989</v>
      </c>
      <c r="J76" s="118">
        <f>Campground!O4</f>
        <v>927.20249999999976</v>
      </c>
      <c r="K76" s="118">
        <f>Campground!P4</f>
        <v>941.11053749999962</v>
      </c>
      <c r="L76" s="118">
        <f>Campground!Q4</f>
        <v>955.22719556249956</v>
      </c>
      <c r="M76" s="133">
        <f>Campground!C17</f>
        <v>0</v>
      </c>
      <c r="N76" s="133">
        <f>Campground!D17</f>
        <v>0</v>
      </c>
      <c r="O76" s="133">
        <f>Campground!E17</f>
        <v>0</v>
      </c>
      <c r="P76" s="133">
        <f>Campground!F17</f>
        <v>300</v>
      </c>
      <c r="Q76" s="133">
        <f>Campground!G17</f>
        <v>300</v>
      </c>
      <c r="R76" s="133">
        <f>Campground!H17</f>
        <v>300</v>
      </c>
      <c r="S76" s="133">
        <f>Campground!I17</f>
        <v>0</v>
      </c>
      <c r="T76" s="133">
        <f>Campground!J17</f>
        <v>0</v>
      </c>
      <c r="U76" s="133">
        <f>Campground!K17</f>
        <v>0</v>
      </c>
      <c r="V76" s="133">
        <f>Campground!L17</f>
        <v>0</v>
      </c>
      <c r="W76" s="133">
        <f>Campground!M17</f>
        <v>0</v>
      </c>
      <c r="X76" s="133">
        <f>Campground!N17</f>
        <v>0</v>
      </c>
      <c r="Y76" s="130">
        <f t="shared" si="9"/>
        <v>900</v>
      </c>
      <c r="Z76" s="113">
        <f t="shared" ref="Z76:Z83" si="11">ROUND(Y76-H76,0)</f>
        <v>0</v>
      </c>
    </row>
    <row r="77" spans="1:26" x14ac:dyDescent="0.25">
      <c r="A77" s="107"/>
      <c r="B77" s="107"/>
      <c r="C77" s="107"/>
      <c r="D77" s="107"/>
      <c r="E77" s="107"/>
      <c r="F77" s="132" t="s">
        <v>34</v>
      </c>
      <c r="G77" s="107"/>
      <c r="H77" s="118">
        <f>Campground!M5</f>
        <v>100</v>
      </c>
      <c r="I77" s="118">
        <f>Campground!N5</f>
        <v>500</v>
      </c>
      <c r="J77" s="118">
        <f>Campground!O5</f>
        <v>250</v>
      </c>
      <c r="K77" s="118">
        <f>Campground!P5</f>
        <v>250</v>
      </c>
      <c r="L77" s="118">
        <f>Campground!Q5</f>
        <v>250</v>
      </c>
      <c r="M77" s="133">
        <f>Campground!C18</f>
        <v>0</v>
      </c>
      <c r="N77" s="133">
        <f>Campground!D18</f>
        <v>0</v>
      </c>
      <c r="O77" s="133">
        <f>Campground!E18</f>
        <v>0</v>
      </c>
      <c r="P77" s="133">
        <f>Campground!F18</f>
        <v>100</v>
      </c>
      <c r="Q77" s="133">
        <f>Campground!G18</f>
        <v>0</v>
      </c>
      <c r="R77" s="133">
        <f>Campground!H18</f>
        <v>0</v>
      </c>
      <c r="S77" s="133">
        <f>Campground!I18</f>
        <v>0</v>
      </c>
      <c r="T77" s="133">
        <f>Campground!J18</f>
        <v>0</v>
      </c>
      <c r="U77" s="133">
        <f>Campground!K18</f>
        <v>0</v>
      </c>
      <c r="V77" s="133">
        <f>Campground!L18</f>
        <v>0</v>
      </c>
      <c r="W77" s="133">
        <f>Campground!M18</f>
        <v>0</v>
      </c>
      <c r="X77" s="133">
        <f>Campground!N18</f>
        <v>0</v>
      </c>
      <c r="Y77" s="130">
        <f t="shared" si="9"/>
        <v>100</v>
      </c>
      <c r="Z77" s="113">
        <f t="shared" si="11"/>
        <v>0</v>
      </c>
    </row>
    <row r="78" spans="1:26" x14ac:dyDescent="0.25">
      <c r="A78" s="107"/>
      <c r="B78" s="107"/>
      <c r="C78" s="107"/>
      <c r="D78" s="107"/>
      <c r="E78" s="107"/>
      <c r="F78" s="132" t="s">
        <v>35</v>
      </c>
      <c r="G78" s="107"/>
      <c r="H78" s="118">
        <f>Campground!M6</f>
        <v>720</v>
      </c>
      <c r="I78" s="118">
        <f>Campground!N6</f>
        <v>730.8</v>
      </c>
      <c r="J78" s="118">
        <f>Campground!O6</f>
        <v>741.76199999999983</v>
      </c>
      <c r="K78" s="118">
        <f>Campground!P6</f>
        <v>752.88842999999974</v>
      </c>
      <c r="L78" s="118">
        <f>Campground!Q6</f>
        <v>764.18175644999963</v>
      </c>
      <c r="M78" s="133">
        <f>Campground!C19</f>
        <v>60</v>
      </c>
      <c r="N78" s="133">
        <f>Campground!D19</f>
        <v>60</v>
      </c>
      <c r="O78" s="133">
        <f>Campground!E19</f>
        <v>60</v>
      </c>
      <c r="P78" s="133">
        <f>Campground!F19</f>
        <v>60</v>
      </c>
      <c r="Q78" s="133">
        <f>Campground!G19</f>
        <v>60</v>
      </c>
      <c r="R78" s="133">
        <f>Campground!H19</f>
        <v>60</v>
      </c>
      <c r="S78" s="133">
        <f>Campground!I19</f>
        <v>60</v>
      </c>
      <c r="T78" s="133">
        <f>Campground!J19</f>
        <v>60</v>
      </c>
      <c r="U78" s="133">
        <f>Campground!K19</f>
        <v>60</v>
      </c>
      <c r="V78" s="133">
        <f>Campground!L19</f>
        <v>60</v>
      </c>
      <c r="W78" s="133">
        <f>Campground!M19</f>
        <v>60</v>
      </c>
      <c r="X78" s="133">
        <f>Campground!N19</f>
        <v>60</v>
      </c>
      <c r="Y78" s="130">
        <f t="shared" si="9"/>
        <v>720</v>
      </c>
      <c r="Z78" s="113">
        <f t="shared" si="11"/>
        <v>0</v>
      </c>
    </row>
    <row r="79" spans="1:26" x14ac:dyDescent="0.25">
      <c r="A79" s="107"/>
      <c r="B79" s="107"/>
      <c r="C79" s="107"/>
      <c r="D79" s="107"/>
      <c r="E79" s="107"/>
      <c r="F79" s="132" t="s">
        <v>36</v>
      </c>
      <c r="G79" s="107"/>
      <c r="H79" s="118">
        <f>Campground!M7</f>
        <v>240</v>
      </c>
      <c r="I79" s="118">
        <f>Campground!N7</f>
        <v>243.59999999999997</v>
      </c>
      <c r="J79" s="118">
        <f>Campground!O7</f>
        <v>247.25399999999993</v>
      </c>
      <c r="K79" s="118">
        <f>Campground!P7</f>
        <v>250.96280999999991</v>
      </c>
      <c r="L79" s="118">
        <f>Campground!Q7</f>
        <v>254.72725214999988</v>
      </c>
      <c r="M79" s="133">
        <f>Campground!C20</f>
        <v>20</v>
      </c>
      <c r="N79" s="133">
        <f>Campground!D20</f>
        <v>20</v>
      </c>
      <c r="O79" s="133">
        <f>Campground!E20</f>
        <v>20</v>
      </c>
      <c r="P79" s="133">
        <f>Campground!F20</f>
        <v>20</v>
      </c>
      <c r="Q79" s="133">
        <f>Campground!G20</f>
        <v>20</v>
      </c>
      <c r="R79" s="133">
        <f>Campground!H20</f>
        <v>20</v>
      </c>
      <c r="S79" s="133">
        <f>Campground!I20</f>
        <v>20</v>
      </c>
      <c r="T79" s="133">
        <f>Campground!J20</f>
        <v>20</v>
      </c>
      <c r="U79" s="133">
        <f>Campground!K20</f>
        <v>20</v>
      </c>
      <c r="V79" s="133">
        <f>Campground!L20</f>
        <v>20</v>
      </c>
      <c r="W79" s="133">
        <f>Campground!M20</f>
        <v>20</v>
      </c>
      <c r="X79" s="133">
        <f>Campground!N20</f>
        <v>20</v>
      </c>
      <c r="Y79" s="130">
        <f t="shared" si="9"/>
        <v>240</v>
      </c>
      <c r="Z79" s="113">
        <f t="shared" si="11"/>
        <v>0</v>
      </c>
    </row>
    <row r="80" spans="1:26" x14ac:dyDescent="0.25">
      <c r="A80" s="107"/>
      <c r="B80" s="107"/>
      <c r="C80" s="107"/>
      <c r="D80" s="107"/>
      <c r="E80" s="107"/>
      <c r="F80" s="132" t="s">
        <v>37</v>
      </c>
      <c r="G80" s="107"/>
      <c r="H80" s="118">
        <f>Campground!M8</f>
        <v>0</v>
      </c>
      <c r="I80" s="118">
        <f>Campground!N8</f>
        <v>0</v>
      </c>
      <c r="J80" s="118">
        <f>Campground!O8</f>
        <v>0</v>
      </c>
      <c r="K80" s="118">
        <f>Campground!P8</f>
        <v>0</v>
      </c>
      <c r="L80" s="118">
        <f>Campground!Q8</f>
        <v>0</v>
      </c>
      <c r="M80" s="133">
        <f>Campground!C21</f>
        <v>0</v>
      </c>
      <c r="N80" s="133">
        <f>Campground!D21</f>
        <v>0</v>
      </c>
      <c r="O80" s="133">
        <f>Campground!E21</f>
        <v>0</v>
      </c>
      <c r="P80" s="133">
        <f>Campground!F21</f>
        <v>0</v>
      </c>
      <c r="Q80" s="133">
        <f>Campground!G21</f>
        <v>0</v>
      </c>
      <c r="R80" s="133">
        <f>Campground!H21</f>
        <v>0</v>
      </c>
      <c r="S80" s="133">
        <f>Campground!I21</f>
        <v>0</v>
      </c>
      <c r="T80" s="133">
        <f>Campground!J21</f>
        <v>0</v>
      </c>
      <c r="U80" s="133">
        <f>Campground!K21</f>
        <v>0</v>
      </c>
      <c r="V80" s="133">
        <f>Campground!L21</f>
        <v>0</v>
      </c>
      <c r="W80" s="133">
        <f>Campground!M21</f>
        <v>0</v>
      </c>
      <c r="X80" s="133">
        <f>Campground!N21</f>
        <v>0</v>
      </c>
      <c r="Y80" s="130">
        <f t="shared" si="9"/>
        <v>0</v>
      </c>
      <c r="Z80" s="113">
        <f t="shared" si="11"/>
        <v>0</v>
      </c>
    </row>
    <row r="81" spans="1:26" ht="15.75" thickBot="1" x14ac:dyDescent="0.3">
      <c r="A81" s="107"/>
      <c r="B81" s="107"/>
      <c r="C81" s="107"/>
      <c r="D81" s="107"/>
      <c r="E81" s="107"/>
      <c r="F81" s="132" t="s">
        <v>38</v>
      </c>
      <c r="G81" s="107"/>
      <c r="H81" s="118">
        <f>Campground!M9</f>
        <v>400</v>
      </c>
      <c r="I81" s="118">
        <f>Campground!N9</f>
        <v>400</v>
      </c>
      <c r="J81" s="118">
        <f>Campground!O9</f>
        <v>0</v>
      </c>
      <c r="K81" s="118">
        <f>Campground!P9</f>
        <v>0</v>
      </c>
      <c r="L81" s="118">
        <f>Campground!Q9</f>
        <v>0</v>
      </c>
      <c r="M81" s="134">
        <f>Campground!C22</f>
        <v>0</v>
      </c>
      <c r="N81" s="134">
        <f>Campground!D22</f>
        <v>0</v>
      </c>
      <c r="O81" s="134">
        <f>Campground!E22</f>
        <v>0</v>
      </c>
      <c r="P81" s="134">
        <f>Campground!F22</f>
        <v>0</v>
      </c>
      <c r="Q81" s="134">
        <f>Campground!G22</f>
        <v>200</v>
      </c>
      <c r="R81" s="134">
        <f>Campground!H22</f>
        <v>200</v>
      </c>
      <c r="S81" s="134">
        <f>Campground!I22</f>
        <v>0</v>
      </c>
      <c r="T81" s="134">
        <f>Campground!J22</f>
        <v>0</v>
      </c>
      <c r="U81" s="134">
        <f>Campground!K22</f>
        <v>0</v>
      </c>
      <c r="V81" s="134">
        <f>Campground!L22</f>
        <v>0</v>
      </c>
      <c r="W81" s="134">
        <f>Campground!M22</f>
        <v>0</v>
      </c>
      <c r="X81" s="134">
        <f>Campground!N22</f>
        <v>0</v>
      </c>
      <c r="Y81" s="130">
        <f t="shared" si="9"/>
        <v>400</v>
      </c>
      <c r="Z81" s="113">
        <f t="shared" si="11"/>
        <v>0</v>
      </c>
    </row>
    <row r="82" spans="1:26" ht="15.75" thickBot="1" x14ac:dyDescent="0.3">
      <c r="A82" s="107"/>
      <c r="B82" s="107"/>
      <c r="C82" s="107"/>
      <c r="D82" s="107"/>
      <c r="E82" s="107"/>
      <c r="F82" s="107" t="s">
        <v>39</v>
      </c>
      <c r="G82" s="107"/>
      <c r="H82" s="131">
        <f>ROUND(SUM(H76:H81),5)</f>
        <v>2360</v>
      </c>
      <c r="I82" s="131">
        <f t="shared" ref="I82:Y82" si="12">ROUND(SUM(I76:I81),5)</f>
        <v>2787.9</v>
      </c>
      <c r="J82" s="131">
        <f t="shared" si="12"/>
        <v>2166.2184999999999</v>
      </c>
      <c r="K82" s="131">
        <f t="shared" si="12"/>
        <v>2194.9617800000001</v>
      </c>
      <c r="L82" s="131">
        <f t="shared" si="12"/>
        <v>2224.1361999999999</v>
      </c>
      <c r="M82" s="131">
        <f t="shared" si="12"/>
        <v>80</v>
      </c>
      <c r="N82" s="131">
        <f t="shared" si="12"/>
        <v>80</v>
      </c>
      <c r="O82" s="131">
        <f t="shared" si="12"/>
        <v>80</v>
      </c>
      <c r="P82" s="131">
        <f t="shared" si="12"/>
        <v>480</v>
      </c>
      <c r="Q82" s="131">
        <f t="shared" si="12"/>
        <v>580</v>
      </c>
      <c r="R82" s="131">
        <f t="shared" si="12"/>
        <v>580</v>
      </c>
      <c r="S82" s="131">
        <f t="shared" si="12"/>
        <v>80</v>
      </c>
      <c r="T82" s="131">
        <f t="shared" si="12"/>
        <v>80</v>
      </c>
      <c r="U82" s="131">
        <f t="shared" si="12"/>
        <v>80</v>
      </c>
      <c r="V82" s="131">
        <f t="shared" si="12"/>
        <v>80</v>
      </c>
      <c r="W82" s="131">
        <f t="shared" si="12"/>
        <v>80</v>
      </c>
      <c r="X82" s="131">
        <f t="shared" si="12"/>
        <v>80</v>
      </c>
      <c r="Y82" s="131">
        <f t="shared" si="12"/>
        <v>2360</v>
      </c>
      <c r="Z82" s="113">
        <f t="shared" si="11"/>
        <v>0</v>
      </c>
    </row>
    <row r="83" spans="1:26" x14ac:dyDescent="0.25">
      <c r="A83" s="107"/>
      <c r="B83" s="107"/>
      <c r="C83" s="107"/>
      <c r="D83" s="107"/>
      <c r="E83" s="107" t="s">
        <v>162</v>
      </c>
      <c r="F83" s="107"/>
      <c r="G83" s="107"/>
      <c r="H83" s="118">
        <f>ROUND(H62+H74+H82,5)</f>
        <v>6940</v>
      </c>
      <c r="I83" s="118">
        <f t="shared" ref="I83:X83" si="13">ROUND(I62+I74+I82,5)</f>
        <v>8397.6</v>
      </c>
      <c r="J83" s="118">
        <f t="shared" si="13"/>
        <v>4806.0640000000003</v>
      </c>
      <c r="K83" s="118">
        <f t="shared" si="13"/>
        <v>5965.4049599999998</v>
      </c>
      <c r="L83" s="118">
        <f t="shared" si="13"/>
        <v>4925.6360299999997</v>
      </c>
      <c r="M83" s="118">
        <f t="shared" si="13"/>
        <v>220</v>
      </c>
      <c r="N83" s="118">
        <f t="shared" si="13"/>
        <v>220</v>
      </c>
      <c r="O83" s="118">
        <f t="shared" si="13"/>
        <v>820</v>
      </c>
      <c r="P83" s="118">
        <f t="shared" si="13"/>
        <v>1520</v>
      </c>
      <c r="Q83" s="118">
        <f t="shared" si="13"/>
        <v>1520</v>
      </c>
      <c r="R83" s="118">
        <f t="shared" si="13"/>
        <v>1020</v>
      </c>
      <c r="S83" s="118">
        <f t="shared" si="13"/>
        <v>520</v>
      </c>
      <c r="T83" s="118">
        <f t="shared" si="13"/>
        <v>220</v>
      </c>
      <c r="U83" s="118">
        <f t="shared" si="13"/>
        <v>220</v>
      </c>
      <c r="V83" s="118">
        <f t="shared" si="13"/>
        <v>220</v>
      </c>
      <c r="W83" s="118">
        <f t="shared" si="13"/>
        <v>220</v>
      </c>
      <c r="X83" s="118">
        <f t="shared" si="13"/>
        <v>220</v>
      </c>
      <c r="Y83" s="130">
        <f t="shared" si="9"/>
        <v>6940</v>
      </c>
      <c r="Z83" s="113">
        <f t="shared" si="11"/>
        <v>0</v>
      </c>
    </row>
    <row r="84" spans="1:26" x14ac:dyDescent="0.25">
      <c r="A84" s="107"/>
      <c r="B84" s="107"/>
      <c r="C84" s="107"/>
      <c r="D84" s="107"/>
      <c r="E84" s="107" t="s">
        <v>52</v>
      </c>
      <c r="F84" s="107"/>
      <c r="G84" s="107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30"/>
    </row>
    <row r="85" spans="1:26" x14ac:dyDescent="0.25">
      <c r="A85" s="107"/>
      <c r="B85" s="107"/>
      <c r="C85" s="107"/>
      <c r="D85" s="107"/>
      <c r="E85" s="107"/>
      <c r="F85" s="132" t="s">
        <v>53</v>
      </c>
      <c r="G85" s="107"/>
      <c r="H85" s="118">
        <f>'Property Owner Services'!M4</f>
        <v>2500</v>
      </c>
      <c r="I85" s="118">
        <f>'Property Owner Services'!N4</f>
        <v>2537.4999999999995</v>
      </c>
      <c r="J85" s="118">
        <f>'Property Owner Services'!O4</f>
        <v>2575.5624999999991</v>
      </c>
      <c r="K85" s="118">
        <f>'Property Owner Services'!P4</f>
        <v>2614.1959374999988</v>
      </c>
      <c r="L85" s="118">
        <f>'Property Owner Services'!Q4</f>
        <v>2653.4088765624983</v>
      </c>
      <c r="M85" s="133">
        <f>'Property Owner Services'!C40</f>
        <v>208.33333333333334</v>
      </c>
      <c r="N85" s="133">
        <f>'Property Owner Services'!D40</f>
        <v>208.33333333333334</v>
      </c>
      <c r="O85" s="133">
        <f>'Property Owner Services'!E40</f>
        <v>208.33333333333334</v>
      </c>
      <c r="P85" s="133">
        <f>'Property Owner Services'!F40</f>
        <v>208.33333333333334</v>
      </c>
      <c r="Q85" s="133">
        <f>'Property Owner Services'!G40</f>
        <v>208.33333333333334</v>
      </c>
      <c r="R85" s="133">
        <f>'Property Owner Services'!H40</f>
        <v>208.33333333333334</v>
      </c>
      <c r="S85" s="133">
        <f>'Property Owner Services'!I40</f>
        <v>208.33333333333334</v>
      </c>
      <c r="T85" s="133">
        <f>'Property Owner Services'!J40</f>
        <v>208.33333333333334</v>
      </c>
      <c r="U85" s="133">
        <f>'Property Owner Services'!K40</f>
        <v>208.33333333333334</v>
      </c>
      <c r="V85" s="133">
        <f>'Property Owner Services'!L40</f>
        <v>208.33333333333334</v>
      </c>
      <c r="W85" s="133">
        <f>'Property Owner Services'!M40</f>
        <v>208.33333333333334</v>
      </c>
      <c r="X85" s="133">
        <f>'Property Owner Services'!N40</f>
        <v>208.33333333333334</v>
      </c>
      <c r="Y85" s="130">
        <f t="shared" si="9"/>
        <v>2500</v>
      </c>
      <c r="Z85" s="113">
        <f t="shared" ref="Z85:Z116" si="14">ROUND(Y85-H85,0)</f>
        <v>0</v>
      </c>
    </row>
    <row r="86" spans="1:26" x14ac:dyDescent="0.25">
      <c r="A86" s="107"/>
      <c r="B86" s="107"/>
      <c r="C86" s="107"/>
      <c r="D86" s="107"/>
      <c r="E86" s="107"/>
      <c r="F86" s="132" t="s">
        <v>54</v>
      </c>
      <c r="G86" s="107"/>
      <c r="H86" s="118">
        <f>'Property Owner Services'!M5</f>
        <v>1340</v>
      </c>
      <c r="I86" s="118">
        <f>'Property Owner Services'!N5</f>
        <v>1360.1</v>
      </c>
      <c r="J86" s="118">
        <f>'Property Owner Services'!O5</f>
        <v>1380.5014999999999</v>
      </c>
      <c r="K86" s="118">
        <f>'Property Owner Services'!P5</f>
        <v>1401.2090224999997</v>
      </c>
      <c r="L86" s="118">
        <f>'Property Owner Services'!Q5</f>
        <v>1422.2271578374996</v>
      </c>
      <c r="M86" s="133">
        <f>'Property Owner Services'!C41</f>
        <v>111.66666666666667</v>
      </c>
      <c r="N86" s="133">
        <f>'Property Owner Services'!D41</f>
        <v>111.66666666666667</v>
      </c>
      <c r="O86" s="133">
        <f>'Property Owner Services'!E41</f>
        <v>111.66666666666667</v>
      </c>
      <c r="P86" s="133">
        <f>'Property Owner Services'!F41</f>
        <v>111.66666666666667</v>
      </c>
      <c r="Q86" s="133">
        <f>'Property Owner Services'!G41</f>
        <v>111.66666666666667</v>
      </c>
      <c r="R86" s="133">
        <f>'Property Owner Services'!H41</f>
        <v>111.66666666666667</v>
      </c>
      <c r="S86" s="133">
        <f>'Property Owner Services'!I41</f>
        <v>111.66666666666667</v>
      </c>
      <c r="T86" s="133">
        <f>'Property Owner Services'!J41</f>
        <v>111.66666666666667</v>
      </c>
      <c r="U86" s="133">
        <f>'Property Owner Services'!K41</f>
        <v>111.66666666666667</v>
      </c>
      <c r="V86" s="133">
        <f>'Property Owner Services'!L41</f>
        <v>111.66666666666667</v>
      </c>
      <c r="W86" s="133">
        <f>'Property Owner Services'!M41</f>
        <v>111.66666666666667</v>
      </c>
      <c r="X86" s="133">
        <f>'Property Owner Services'!N41</f>
        <v>111.66666666666667</v>
      </c>
      <c r="Y86" s="130">
        <f t="shared" si="9"/>
        <v>1340</v>
      </c>
      <c r="Z86" s="113">
        <f t="shared" si="14"/>
        <v>0</v>
      </c>
    </row>
    <row r="87" spans="1:26" x14ac:dyDescent="0.25">
      <c r="A87" s="107"/>
      <c r="B87" s="107"/>
      <c r="C87" s="107"/>
      <c r="D87" s="107"/>
      <c r="E87" s="107"/>
      <c r="F87" s="132" t="s">
        <v>55</v>
      </c>
      <c r="G87" s="107"/>
      <c r="H87" s="118">
        <f>'Property Owner Services'!M6</f>
        <v>12000</v>
      </c>
      <c r="I87" s="118">
        <f>'Property Owner Services'!N6</f>
        <v>12179.999999999998</v>
      </c>
      <c r="J87" s="118">
        <f>'Property Owner Services'!O6</f>
        <v>12362.699999999997</v>
      </c>
      <c r="K87" s="118">
        <f>'Property Owner Services'!P6</f>
        <v>12548.140499999996</v>
      </c>
      <c r="L87" s="118">
        <f>'Property Owner Services'!Q6</f>
        <v>12736.362607499994</v>
      </c>
      <c r="M87" s="133">
        <f>'Property Owner Services'!C42</f>
        <v>1000</v>
      </c>
      <c r="N87" s="133">
        <f>'Property Owner Services'!D42</f>
        <v>1000</v>
      </c>
      <c r="O87" s="133">
        <f>'Property Owner Services'!E42</f>
        <v>1000</v>
      </c>
      <c r="P87" s="133">
        <f>'Property Owner Services'!F42</f>
        <v>1000</v>
      </c>
      <c r="Q87" s="133">
        <f>'Property Owner Services'!G42</f>
        <v>1000</v>
      </c>
      <c r="R87" s="133">
        <f>'Property Owner Services'!H42</f>
        <v>1000</v>
      </c>
      <c r="S87" s="133">
        <f>'Property Owner Services'!I42</f>
        <v>1000</v>
      </c>
      <c r="T87" s="133">
        <f>'Property Owner Services'!J42</f>
        <v>1000</v>
      </c>
      <c r="U87" s="133">
        <f>'Property Owner Services'!K42</f>
        <v>1000</v>
      </c>
      <c r="V87" s="133">
        <f>'Property Owner Services'!L42</f>
        <v>1000</v>
      </c>
      <c r="W87" s="133">
        <f>'Property Owner Services'!M42</f>
        <v>1000</v>
      </c>
      <c r="X87" s="133">
        <f>'Property Owner Services'!N42</f>
        <v>1000</v>
      </c>
      <c r="Y87" s="130">
        <f t="shared" si="9"/>
        <v>12000</v>
      </c>
      <c r="Z87" s="113">
        <f t="shared" si="14"/>
        <v>0</v>
      </c>
    </row>
    <row r="88" spans="1:26" x14ac:dyDescent="0.25">
      <c r="A88" s="107"/>
      <c r="B88" s="107"/>
      <c r="C88" s="107"/>
      <c r="D88" s="107"/>
      <c r="E88" s="107"/>
      <c r="F88" s="132" t="s">
        <v>56</v>
      </c>
      <c r="G88" s="107"/>
      <c r="H88" s="118">
        <f>'Property Owner Services'!M7</f>
        <v>2600</v>
      </c>
      <c r="I88" s="118">
        <f>'Property Owner Services'!N7</f>
        <v>2638.9999999999995</v>
      </c>
      <c r="J88" s="118">
        <f>'Property Owner Services'!O7</f>
        <v>2678.5849999999991</v>
      </c>
      <c r="K88" s="118">
        <f>'Property Owner Services'!P7</f>
        <v>2718.763774999999</v>
      </c>
      <c r="L88" s="118">
        <f>'Property Owner Services'!Q7</f>
        <v>2759.5452316249989</v>
      </c>
      <c r="M88" s="133">
        <f>'Property Owner Services'!C43</f>
        <v>216.66666666666666</v>
      </c>
      <c r="N88" s="133">
        <f>'Property Owner Services'!D43</f>
        <v>216.66666666666666</v>
      </c>
      <c r="O88" s="133">
        <f>'Property Owner Services'!E43</f>
        <v>216.66666666666666</v>
      </c>
      <c r="P88" s="133">
        <f>'Property Owner Services'!F43</f>
        <v>216.66666666666666</v>
      </c>
      <c r="Q88" s="133">
        <f>'Property Owner Services'!G43</f>
        <v>216.66666666666666</v>
      </c>
      <c r="R88" s="133">
        <f>'Property Owner Services'!H43</f>
        <v>216.66666666666666</v>
      </c>
      <c r="S88" s="133">
        <f>'Property Owner Services'!I43</f>
        <v>216.66666666666666</v>
      </c>
      <c r="T88" s="133">
        <f>'Property Owner Services'!J43</f>
        <v>216.66666666666666</v>
      </c>
      <c r="U88" s="133">
        <f>'Property Owner Services'!K43</f>
        <v>216.66666666666666</v>
      </c>
      <c r="V88" s="133">
        <f>'Property Owner Services'!L43</f>
        <v>216.66666666666666</v>
      </c>
      <c r="W88" s="133">
        <f>'Property Owner Services'!M43</f>
        <v>216.66666666666666</v>
      </c>
      <c r="X88" s="133">
        <f>'Property Owner Services'!N43</f>
        <v>216.66666666666666</v>
      </c>
      <c r="Y88" s="130">
        <f t="shared" si="9"/>
        <v>2600</v>
      </c>
      <c r="Z88" s="113">
        <f t="shared" si="14"/>
        <v>0</v>
      </c>
    </row>
    <row r="89" spans="1:26" x14ac:dyDescent="0.25">
      <c r="A89" s="107"/>
      <c r="B89" s="107"/>
      <c r="C89" s="107"/>
      <c r="D89" s="107"/>
      <c r="E89" s="107"/>
      <c r="F89" s="132" t="s">
        <v>57</v>
      </c>
      <c r="G89" s="107"/>
      <c r="H89" s="118">
        <f>'Property Owner Services'!M8</f>
        <v>1957</v>
      </c>
      <c r="I89" s="118">
        <f>'Property Owner Services'!N8</f>
        <v>2015.71</v>
      </c>
      <c r="J89" s="118">
        <f>'Property Owner Services'!O8</f>
        <v>2076.1813000000002</v>
      </c>
      <c r="K89" s="118">
        <f>'Property Owner Services'!P8</f>
        <v>2138.4667390000004</v>
      </c>
      <c r="L89" s="118">
        <f>'Property Owner Services'!Q8</f>
        <v>2202.6207411700007</v>
      </c>
      <c r="M89" s="133">
        <f>'Property Owner Services'!C44</f>
        <v>163.08333333333334</v>
      </c>
      <c r="N89" s="133">
        <f>'Property Owner Services'!D44</f>
        <v>163.08333333333334</v>
      </c>
      <c r="O89" s="133">
        <f>'Property Owner Services'!E44</f>
        <v>163.08333333333334</v>
      </c>
      <c r="P89" s="133">
        <f>'Property Owner Services'!F44</f>
        <v>163.08333333333334</v>
      </c>
      <c r="Q89" s="133">
        <f>'Property Owner Services'!G44</f>
        <v>163.08333333333334</v>
      </c>
      <c r="R89" s="133">
        <f>'Property Owner Services'!H44</f>
        <v>163.08333333333334</v>
      </c>
      <c r="S89" s="133">
        <f>'Property Owner Services'!I44</f>
        <v>163.08333333333334</v>
      </c>
      <c r="T89" s="133">
        <f>'Property Owner Services'!J44</f>
        <v>163.08333333333334</v>
      </c>
      <c r="U89" s="133">
        <f>'Property Owner Services'!K44</f>
        <v>163.08333333333334</v>
      </c>
      <c r="V89" s="133">
        <f>'Property Owner Services'!L44</f>
        <v>163.08333333333334</v>
      </c>
      <c r="W89" s="133">
        <f>'Property Owner Services'!M44</f>
        <v>163.08333333333334</v>
      </c>
      <c r="X89" s="133">
        <f>'Property Owner Services'!N44</f>
        <v>163.08333333333334</v>
      </c>
      <c r="Y89" s="130">
        <f t="shared" si="9"/>
        <v>1956.9999999999998</v>
      </c>
      <c r="Z89" s="113">
        <f t="shared" si="14"/>
        <v>0</v>
      </c>
    </row>
    <row r="90" spans="1:26" x14ac:dyDescent="0.25">
      <c r="A90" s="107"/>
      <c r="B90" s="107"/>
      <c r="C90" s="107"/>
      <c r="D90" s="107"/>
      <c r="E90" s="107"/>
      <c r="F90" s="132" t="s">
        <v>58</v>
      </c>
      <c r="G90" s="107"/>
      <c r="H90" s="118">
        <f>'Property Owner Services'!M9</f>
        <v>1750</v>
      </c>
      <c r="I90" s="118">
        <f>'Property Owner Services'!N9</f>
        <v>1776.2499999999998</v>
      </c>
      <c r="J90" s="118">
        <f>'Property Owner Services'!O9</f>
        <v>1802.8937499999995</v>
      </c>
      <c r="K90" s="118">
        <f>'Property Owner Services'!P9</f>
        <v>1829.9371562499994</v>
      </c>
      <c r="L90" s="118">
        <f>'Property Owner Services'!Q9</f>
        <v>1857.3862135937491</v>
      </c>
      <c r="M90" s="133">
        <f>'Property Owner Services'!C45</f>
        <v>145.83333333333334</v>
      </c>
      <c r="N90" s="133">
        <f>'Property Owner Services'!D45</f>
        <v>145.83333333333334</v>
      </c>
      <c r="O90" s="133">
        <f>'Property Owner Services'!E45</f>
        <v>145.83333333333334</v>
      </c>
      <c r="P90" s="133">
        <f>'Property Owner Services'!F45</f>
        <v>145.83333333333334</v>
      </c>
      <c r="Q90" s="133">
        <f>'Property Owner Services'!G45</f>
        <v>145.83333333333334</v>
      </c>
      <c r="R90" s="133">
        <f>'Property Owner Services'!H45</f>
        <v>145.83333333333334</v>
      </c>
      <c r="S90" s="133">
        <f>'Property Owner Services'!I45</f>
        <v>145.83333333333334</v>
      </c>
      <c r="T90" s="133">
        <f>'Property Owner Services'!J45</f>
        <v>145.83333333333334</v>
      </c>
      <c r="U90" s="133">
        <f>'Property Owner Services'!K45</f>
        <v>145.83333333333334</v>
      </c>
      <c r="V90" s="133">
        <f>'Property Owner Services'!L45</f>
        <v>145.83333333333334</v>
      </c>
      <c r="W90" s="133">
        <f>'Property Owner Services'!M45</f>
        <v>145.83333333333334</v>
      </c>
      <c r="X90" s="133">
        <f>'Property Owner Services'!N45</f>
        <v>145.83333333333334</v>
      </c>
      <c r="Y90" s="130">
        <f t="shared" si="9"/>
        <v>1749.9999999999998</v>
      </c>
      <c r="Z90" s="113">
        <f t="shared" si="14"/>
        <v>0</v>
      </c>
    </row>
    <row r="91" spans="1:26" x14ac:dyDescent="0.25">
      <c r="A91" s="107"/>
      <c r="B91" s="107"/>
      <c r="C91" s="107"/>
      <c r="D91" s="107"/>
      <c r="E91" s="107"/>
      <c r="F91" s="132" t="s">
        <v>59</v>
      </c>
      <c r="G91" s="107"/>
      <c r="H91" s="118">
        <f>'Property Owner Services'!M10</f>
        <v>2475</v>
      </c>
      <c r="I91" s="118">
        <f>'Property Owner Services'!N10</f>
        <v>2512.1249999999995</v>
      </c>
      <c r="J91" s="118">
        <f>'Property Owner Services'!O10</f>
        <v>2549.8068749999993</v>
      </c>
      <c r="K91" s="118">
        <f>'Property Owner Services'!P10</f>
        <v>2588.053978124999</v>
      </c>
      <c r="L91" s="118">
        <f>'Property Owner Services'!Q10</f>
        <v>2626.874787796874</v>
      </c>
      <c r="M91" s="133">
        <f>'Property Owner Services'!C46</f>
        <v>206.25</v>
      </c>
      <c r="N91" s="133">
        <f>'Property Owner Services'!D46</f>
        <v>206.25</v>
      </c>
      <c r="O91" s="133">
        <f>'Property Owner Services'!E46</f>
        <v>206.25</v>
      </c>
      <c r="P91" s="133">
        <f>'Property Owner Services'!F46</f>
        <v>206.25</v>
      </c>
      <c r="Q91" s="133">
        <f>'Property Owner Services'!G46</f>
        <v>206.25</v>
      </c>
      <c r="R91" s="133">
        <f>'Property Owner Services'!H46</f>
        <v>206.25</v>
      </c>
      <c r="S91" s="133">
        <f>'Property Owner Services'!I46</f>
        <v>206.25</v>
      </c>
      <c r="T91" s="133">
        <f>'Property Owner Services'!J46</f>
        <v>206.25</v>
      </c>
      <c r="U91" s="133">
        <f>'Property Owner Services'!K46</f>
        <v>206.25</v>
      </c>
      <c r="V91" s="133">
        <f>'Property Owner Services'!L46</f>
        <v>206.25</v>
      </c>
      <c r="W91" s="133">
        <f>'Property Owner Services'!M46</f>
        <v>206.25</v>
      </c>
      <c r="X91" s="133">
        <f>'Property Owner Services'!N46</f>
        <v>206.25</v>
      </c>
      <c r="Y91" s="130">
        <f t="shared" si="9"/>
        <v>2475</v>
      </c>
      <c r="Z91" s="113">
        <f t="shared" si="14"/>
        <v>0</v>
      </c>
    </row>
    <row r="92" spans="1:26" x14ac:dyDescent="0.25">
      <c r="A92" s="107"/>
      <c r="B92" s="107"/>
      <c r="C92" s="107"/>
      <c r="D92" s="107"/>
      <c r="E92" s="107"/>
      <c r="F92" s="132" t="s">
        <v>60</v>
      </c>
      <c r="G92" s="107"/>
      <c r="H92" s="118">
        <f>'Property Owner Services'!M11</f>
        <v>0</v>
      </c>
      <c r="I92" s="118">
        <f>'Property Owner Services'!N11</f>
        <v>0</v>
      </c>
      <c r="J92" s="118">
        <f>'Property Owner Services'!O11</f>
        <v>0</v>
      </c>
      <c r="K92" s="118">
        <f>'Property Owner Services'!P11</f>
        <v>0</v>
      </c>
      <c r="L92" s="118">
        <f>'Property Owner Services'!Q11</f>
        <v>0</v>
      </c>
      <c r="M92" s="133">
        <f>'Property Owner Services'!C47</f>
        <v>0</v>
      </c>
      <c r="N92" s="133">
        <f>'Property Owner Services'!D47</f>
        <v>0</v>
      </c>
      <c r="O92" s="133">
        <f>'Property Owner Services'!E47</f>
        <v>0</v>
      </c>
      <c r="P92" s="133">
        <f>'Property Owner Services'!F47</f>
        <v>0</v>
      </c>
      <c r="Q92" s="133">
        <f>'Property Owner Services'!G47</f>
        <v>0</v>
      </c>
      <c r="R92" s="133">
        <f>'Property Owner Services'!H47</f>
        <v>0</v>
      </c>
      <c r="S92" s="133">
        <f>'Property Owner Services'!I47</f>
        <v>0</v>
      </c>
      <c r="T92" s="133">
        <f>'Property Owner Services'!J47</f>
        <v>0</v>
      </c>
      <c r="U92" s="133">
        <f>'Property Owner Services'!K47</f>
        <v>0</v>
      </c>
      <c r="V92" s="133">
        <f>'Property Owner Services'!L47</f>
        <v>0</v>
      </c>
      <c r="W92" s="133">
        <f>'Property Owner Services'!M47</f>
        <v>0</v>
      </c>
      <c r="X92" s="133">
        <f>'Property Owner Services'!N47</f>
        <v>0</v>
      </c>
      <c r="Y92" s="130">
        <f t="shared" si="9"/>
        <v>0</v>
      </c>
      <c r="Z92" s="113">
        <f t="shared" si="14"/>
        <v>0</v>
      </c>
    </row>
    <row r="93" spans="1:26" x14ac:dyDescent="0.25">
      <c r="A93" s="107"/>
      <c r="B93" s="107"/>
      <c r="C93" s="107"/>
      <c r="D93" s="107"/>
      <c r="E93" s="107"/>
      <c r="F93" s="132" t="s">
        <v>305</v>
      </c>
      <c r="G93" s="107"/>
      <c r="H93" s="118">
        <f>'Property Owner Services'!M12</f>
        <v>3600</v>
      </c>
      <c r="I93" s="118">
        <f>'Property Owner Services'!N12</f>
        <v>3600</v>
      </c>
      <c r="J93" s="118">
        <f>'Property Owner Services'!O12</f>
        <v>3600</v>
      </c>
      <c r="K93" s="118">
        <f>'Property Owner Services'!P12</f>
        <v>3600</v>
      </c>
      <c r="L93" s="118">
        <f>'Property Owner Services'!Q12</f>
        <v>3600</v>
      </c>
      <c r="M93" s="133">
        <f>'Property Owner Services'!C48</f>
        <v>300</v>
      </c>
      <c r="N93" s="133">
        <f>'Property Owner Services'!D48</f>
        <v>300</v>
      </c>
      <c r="O93" s="133">
        <f>'Property Owner Services'!E48</f>
        <v>300</v>
      </c>
      <c r="P93" s="133">
        <f>'Property Owner Services'!F48</f>
        <v>300</v>
      </c>
      <c r="Q93" s="133">
        <f>'Property Owner Services'!G48</f>
        <v>300</v>
      </c>
      <c r="R93" s="133">
        <f>'Property Owner Services'!H48</f>
        <v>300</v>
      </c>
      <c r="S93" s="133">
        <f>'Property Owner Services'!I48</f>
        <v>300</v>
      </c>
      <c r="T93" s="133">
        <f>'Property Owner Services'!J48</f>
        <v>300</v>
      </c>
      <c r="U93" s="133">
        <f>'Property Owner Services'!K48</f>
        <v>300</v>
      </c>
      <c r="V93" s="133">
        <f>'Property Owner Services'!L48</f>
        <v>300</v>
      </c>
      <c r="W93" s="133">
        <f>'Property Owner Services'!M48</f>
        <v>300</v>
      </c>
      <c r="X93" s="133">
        <f>'Property Owner Services'!N48</f>
        <v>300</v>
      </c>
      <c r="Y93" s="130">
        <f t="shared" si="9"/>
        <v>3600</v>
      </c>
      <c r="Z93" s="113">
        <f t="shared" si="14"/>
        <v>0</v>
      </c>
    </row>
    <row r="94" spans="1:26" x14ac:dyDescent="0.25">
      <c r="A94" s="107"/>
      <c r="B94" s="107"/>
      <c r="C94" s="107"/>
      <c r="D94" s="107"/>
      <c r="E94" s="107"/>
      <c r="F94" s="132" t="s">
        <v>163</v>
      </c>
      <c r="G94" s="107"/>
      <c r="H94" s="118">
        <f>'Property Owner Services'!M13</f>
        <v>1028.7825</v>
      </c>
      <c r="I94" s="118">
        <f>'Property Owner Services'!N13</f>
        <v>1050.4068749999999</v>
      </c>
      <c r="J94" s="118">
        <f>'Property Owner Services'!O13</f>
        <v>1102.621695</v>
      </c>
      <c r="K94" s="118">
        <f>'Property Owner Services'!P13</f>
        <v>1155.6557975999999</v>
      </c>
      <c r="L94" s="118">
        <f>'Property Owner Services'!Q13</f>
        <v>1209.5337612779999</v>
      </c>
      <c r="M94" s="133">
        <f>'Property Owner Services'!C49</f>
        <v>85.731875000000002</v>
      </c>
      <c r="N94" s="133">
        <f>'Property Owner Services'!D49</f>
        <v>85.731875000000002</v>
      </c>
      <c r="O94" s="133">
        <f>'Property Owner Services'!E49</f>
        <v>85.731875000000002</v>
      </c>
      <c r="P94" s="133">
        <f>'Property Owner Services'!F49</f>
        <v>85.731875000000002</v>
      </c>
      <c r="Q94" s="133">
        <f>'Property Owner Services'!G49</f>
        <v>85.731875000000002</v>
      </c>
      <c r="R94" s="133">
        <f>'Property Owner Services'!H49</f>
        <v>85.731875000000002</v>
      </c>
      <c r="S94" s="133">
        <f>'Property Owner Services'!I49</f>
        <v>85.731875000000002</v>
      </c>
      <c r="T94" s="133">
        <f>'Property Owner Services'!J49</f>
        <v>85.731875000000002</v>
      </c>
      <c r="U94" s="133">
        <f>'Property Owner Services'!K49</f>
        <v>85.731875000000002</v>
      </c>
      <c r="V94" s="133">
        <f>'Property Owner Services'!L49</f>
        <v>85.731875000000002</v>
      </c>
      <c r="W94" s="133">
        <f>'Property Owner Services'!M49</f>
        <v>85.731875000000002</v>
      </c>
      <c r="X94" s="133">
        <f>'Property Owner Services'!N49</f>
        <v>85.731875000000002</v>
      </c>
      <c r="Y94" s="130">
        <f t="shared" si="9"/>
        <v>1028.7824999999998</v>
      </c>
      <c r="Z94" s="113">
        <f t="shared" si="14"/>
        <v>0</v>
      </c>
    </row>
    <row r="95" spans="1:26" x14ac:dyDescent="0.25">
      <c r="A95" s="107"/>
      <c r="B95" s="107"/>
      <c r="C95" s="107"/>
      <c r="D95" s="107"/>
      <c r="E95" s="107"/>
      <c r="F95" s="132" t="s">
        <v>62</v>
      </c>
      <c r="G95" s="107"/>
      <c r="H95" s="118">
        <f>'Property Owner Services'!M14</f>
        <v>9084</v>
      </c>
      <c r="I95" s="118">
        <f>'Property Owner Services'!N14</f>
        <v>9220.2599999999984</v>
      </c>
      <c r="J95" s="118">
        <f>'Property Owner Services'!O14</f>
        <v>9358.5638999999974</v>
      </c>
      <c r="K95" s="118">
        <f>'Property Owner Services'!P14</f>
        <v>9498.9423584999968</v>
      </c>
      <c r="L95" s="118">
        <f>'Property Owner Services'!Q14</f>
        <v>9641.4264938774959</v>
      </c>
      <c r="M95" s="133">
        <f>'Property Owner Services'!C50</f>
        <v>757</v>
      </c>
      <c r="N95" s="133">
        <f>'Property Owner Services'!D50</f>
        <v>757</v>
      </c>
      <c r="O95" s="133">
        <f>'Property Owner Services'!E50</f>
        <v>757</v>
      </c>
      <c r="P95" s="133">
        <f>'Property Owner Services'!F50</f>
        <v>757</v>
      </c>
      <c r="Q95" s="133">
        <f>'Property Owner Services'!G50</f>
        <v>757</v>
      </c>
      <c r="R95" s="133">
        <f>'Property Owner Services'!H50</f>
        <v>757</v>
      </c>
      <c r="S95" s="133">
        <f>'Property Owner Services'!I50</f>
        <v>757</v>
      </c>
      <c r="T95" s="133">
        <f>'Property Owner Services'!J50</f>
        <v>757</v>
      </c>
      <c r="U95" s="133">
        <f>'Property Owner Services'!K50</f>
        <v>757</v>
      </c>
      <c r="V95" s="133">
        <f>'Property Owner Services'!L50</f>
        <v>757</v>
      </c>
      <c r="W95" s="133">
        <f>'Property Owner Services'!M50</f>
        <v>757</v>
      </c>
      <c r="X95" s="133">
        <f>'Property Owner Services'!N50</f>
        <v>757</v>
      </c>
      <c r="Y95" s="130">
        <f t="shared" si="9"/>
        <v>9084</v>
      </c>
      <c r="Z95" s="113">
        <f t="shared" si="14"/>
        <v>0</v>
      </c>
    </row>
    <row r="96" spans="1:26" x14ac:dyDescent="0.25">
      <c r="A96" s="107"/>
      <c r="B96" s="107"/>
      <c r="C96" s="107"/>
      <c r="D96" s="107"/>
      <c r="E96" s="107"/>
      <c r="F96" s="132" t="s">
        <v>63</v>
      </c>
      <c r="G96" s="107"/>
      <c r="H96" s="118">
        <f>'Property Owner Services'!M15</f>
        <v>4104</v>
      </c>
      <c r="I96" s="118">
        <f>'Property Owner Services'!N15</f>
        <v>4165.5599999999995</v>
      </c>
      <c r="J96" s="118">
        <f>'Property Owner Services'!O15</f>
        <v>4228.0433999999987</v>
      </c>
      <c r="K96" s="118">
        <f>'Property Owner Services'!P15</f>
        <v>4291.4640509999981</v>
      </c>
      <c r="L96" s="118">
        <f>'Property Owner Services'!Q15</f>
        <v>4355.8360117649972</v>
      </c>
      <c r="M96" s="133">
        <f>'Property Owner Services'!C51</f>
        <v>342</v>
      </c>
      <c r="N96" s="133">
        <f>'Property Owner Services'!D51</f>
        <v>342</v>
      </c>
      <c r="O96" s="133">
        <f>'Property Owner Services'!E51</f>
        <v>342</v>
      </c>
      <c r="P96" s="133">
        <f>'Property Owner Services'!F51</f>
        <v>342</v>
      </c>
      <c r="Q96" s="133">
        <f>'Property Owner Services'!G51</f>
        <v>342</v>
      </c>
      <c r="R96" s="133">
        <f>'Property Owner Services'!H51</f>
        <v>342</v>
      </c>
      <c r="S96" s="133">
        <f>'Property Owner Services'!I51</f>
        <v>342</v>
      </c>
      <c r="T96" s="133">
        <f>'Property Owner Services'!J51</f>
        <v>342</v>
      </c>
      <c r="U96" s="133">
        <f>'Property Owner Services'!K51</f>
        <v>342</v>
      </c>
      <c r="V96" s="133">
        <f>'Property Owner Services'!L51</f>
        <v>342</v>
      </c>
      <c r="W96" s="133">
        <f>'Property Owner Services'!M51</f>
        <v>342</v>
      </c>
      <c r="X96" s="133">
        <f>'Property Owner Services'!N51</f>
        <v>342</v>
      </c>
      <c r="Y96" s="130">
        <f t="shared" si="9"/>
        <v>4104</v>
      </c>
      <c r="Z96" s="113">
        <f t="shared" si="14"/>
        <v>0</v>
      </c>
    </row>
    <row r="97" spans="1:26" x14ac:dyDescent="0.25">
      <c r="A97" s="107"/>
      <c r="B97" s="107"/>
      <c r="C97" s="107"/>
      <c r="D97" s="107"/>
      <c r="E97" s="107"/>
      <c r="F97" s="132" t="s">
        <v>64</v>
      </c>
      <c r="G97" s="107"/>
      <c r="H97" s="118">
        <f>'Property Owner Services'!M16</f>
        <v>5246.7907500000001</v>
      </c>
      <c r="I97" s="118">
        <f>'Property Owner Services'!N16</f>
        <v>5357.0750625000001</v>
      </c>
      <c r="J97" s="118">
        <f>'Property Owner Services'!O16</f>
        <v>5623.3706445000007</v>
      </c>
      <c r="K97" s="118">
        <f>'Property Owner Services'!P16</f>
        <v>5893.8445677599993</v>
      </c>
      <c r="L97" s="118">
        <f>'Property Owner Services'!Q16</f>
        <v>6168.6221825178</v>
      </c>
      <c r="M97" s="133">
        <f>'Property Owner Services'!C52</f>
        <v>437.23256250000003</v>
      </c>
      <c r="N97" s="133">
        <f>'Property Owner Services'!D52</f>
        <v>437.23256250000003</v>
      </c>
      <c r="O97" s="133">
        <f>'Property Owner Services'!E52</f>
        <v>437.23256250000003</v>
      </c>
      <c r="P97" s="133">
        <f>'Property Owner Services'!F52</f>
        <v>437.23256250000003</v>
      </c>
      <c r="Q97" s="133">
        <f>'Property Owner Services'!G52</f>
        <v>437.23256250000003</v>
      </c>
      <c r="R97" s="133">
        <f>'Property Owner Services'!H52</f>
        <v>437.23256250000003</v>
      </c>
      <c r="S97" s="133">
        <f>'Property Owner Services'!I52</f>
        <v>437.23256250000003</v>
      </c>
      <c r="T97" s="133">
        <f>'Property Owner Services'!J52</f>
        <v>437.23256250000003</v>
      </c>
      <c r="U97" s="133">
        <f>'Property Owner Services'!K52</f>
        <v>437.23256250000003</v>
      </c>
      <c r="V97" s="133">
        <f>'Property Owner Services'!L52</f>
        <v>437.23256250000003</v>
      </c>
      <c r="W97" s="133">
        <f>'Property Owner Services'!M52</f>
        <v>437.23256250000003</v>
      </c>
      <c r="X97" s="133">
        <f>'Property Owner Services'!N52</f>
        <v>437.23256250000003</v>
      </c>
      <c r="Y97" s="130">
        <f t="shared" si="9"/>
        <v>5246.7907500000001</v>
      </c>
      <c r="Z97" s="113">
        <f t="shared" si="14"/>
        <v>0</v>
      </c>
    </row>
    <row r="98" spans="1:26" x14ac:dyDescent="0.25">
      <c r="A98" s="107"/>
      <c r="B98" s="107"/>
      <c r="C98" s="107"/>
      <c r="D98" s="107"/>
      <c r="E98" s="107"/>
      <c r="F98" s="132" t="s">
        <v>65</v>
      </c>
      <c r="G98" s="107"/>
      <c r="H98" s="118">
        <f>'Property Owner Services'!M17</f>
        <v>500</v>
      </c>
      <c r="I98" s="118">
        <f>'Property Owner Services'!N17</f>
        <v>500</v>
      </c>
      <c r="J98" s="118">
        <f>'Property Owner Services'!O17</f>
        <v>500</v>
      </c>
      <c r="K98" s="118">
        <f>'Property Owner Services'!P17</f>
        <v>500</v>
      </c>
      <c r="L98" s="118">
        <f>'Property Owner Services'!Q17</f>
        <v>500</v>
      </c>
      <c r="M98" s="133">
        <f>'Property Owner Services'!C53</f>
        <v>41.666666666666664</v>
      </c>
      <c r="N98" s="133">
        <f>'Property Owner Services'!D53</f>
        <v>41.666666666666664</v>
      </c>
      <c r="O98" s="133">
        <f>'Property Owner Services'!E53</f>
        <v>41.666666666666664</v>
      </c>
      <c r="P98" s="133">
        <f>'Property Owner Services'!F53</f>
        <v>41.666666666666664</v>
      </c>
      <c r="Q98" s="133">
        <f>'Property Owner Services'!G53</f>
        <v>41.666666666666664</v>
      </c>
      <c r="R98" s="133">
        <f>'Property Owner Services'!H53</f>
        <v>41.666666666666664</v>
      </c>
      <c r="S98" s="133">
        <f>'Property Owner Services'!I53</f>
        <v>41.666666666666664</v>
      </c>
      <c r="T98" s="133">
        <f>'Property Owner Services'!J53</f>
        <v>41.666666666666664</v>
      </c>
      <c r="U98" s="133">
        <f>'Property Owner Services'!K53</f>
        <v>41.666666666666664</v>
      </c>
      <c r="V98" s="133">
        <f>'Property Owner Services'!L53</f>
        <v>41.666666666666664</v>
      </c>
      <c r="W98" s="133">
        <f>'Property Owner Services'!M53</f>
        <v>41.666666666666664</v>
      </c>
      <c r="X98" s="133">
        <f>'Property Owner Services'!N53</f>
        <v>41.666666666666664</v>
      </c>
      <c r="Y98" s="130">
        <f t="shared" si="9"/>
        <v>500.00000000000006</v>
      </c>
      <c r="Z98" s="113">
        <f t="shared" si="14"/>
        <v>0</v>
      </c>
    </row>
    <row r="99" spans="1:26" x14ac:dyDescent="0.25">
      <c r="A99" s="107"/>
      <c r="B99" s="107"/>
      <c r="C99" s="107"/>
      <c r="D99" s="107"/>
      <c r="E99" s="107"/>
      <c r="F99" s="132" t="s">
        <v>66</v>
      </c>
      <c r="G99" s="107"/>
      <c r="H99" s="118">
        <f>'Property Owner Services'!M18</f>
        <v>0</v>
      </c>
      <c r="I99" s="118">
        <f>'Property Owner Services'!N18</f>
        <v>0</v>
      </c>
      <c r="J99" s="118">
        <f>'Property Owner Services'!O18</f>
        <v>0</v>
      </c>
      <c r="K99" s="118">
        <f>'Property Owner Services'!P18</f>
        <v>0</v>
      </c>
      <c r="L99" s="118">
        <f>'Property Owner Services'!Q18</f>
        <v>0</v>
      </c>
      <c r="M99" s="133">
        <f>'Property Owner Services'!C54</f>
        <v>0</v>
      </c>
      <c r="N99" s="133">
        <f>'Property Owner Services'!D54</f>
        <v>0</v>
      </c>
      <c r="O99" s="133">
        <f>'Property Owner Services'!E54</f>
        <v>0</v>
      </c>
      <c r="P99" s="133">
        <f>'Property Owner Services'!F54</f>
        <v>0</v>
      </c>
      <c r="Q99" s="133">
        <f>'Property Owner Services'!G54</f>
        <v>0</v>
      </c>
      <c r="R99" s="133">
        <f>'Property Owner Services'!H54</f>
        <v>0</v>
      </c>
      <c r="S99" s="133">
        <f>'Property Owner Services'!I54</f>
        <v>0</v>
      </c>
      <c r="T99" s="133">
        <f>'Property Owner Services'!J54</f>
        <v>0</v>
      </c>
      <c r="U99" s="133">
        <f>'Property Owner Services'!K54</f>
        <v>0</v>
      </c>
      <c r="V99" s="133">
        <f>'Property Owner Services'!L54</f>
        <v>0</v>
      </c>
      <c r="W99" s="133">
        <f>'Property Owner Services'!M54</f>
        <v>0</v>
      </c>
      <c r="X99" s="133">
        <f>'Property Owner Services'!N54</f>
        <v>0</v>
      </c>
      <c r="Y99" s="130">
        <f t="shared" si="9"/>
        <v>0</v>
      </c>
      <c r="Z99" s="113">
        <f t="shared" si="14"/>
        <v>0</v>
      </c>
    </row>
    <row r="100" spans="1:26" x14ac:dyDescent="0.25">
      <c r="A100" s="107"/>
      <c r="B100" s="107"/>
      <c r="C100" s="107"/>
      <c r="D100" s="107"/>
      <c r="E100" s="107"/>
      <c r="F100" s="132" t="s">
        <v>67</v>
      </c>
      <c r="G100" s="107"/>
      <c r="H100" s="118">
        <f>'Property Owner Services'!M19</f>
        <v>500.5</v>
      </c>
      <c r="I100" s="118">
        <f>'Property Owner Services'!N19</f>
        <v>500.5</v>
      </c>
      <c r="J100" s="118">
        <f>'Property Owner Services'!O19</f>
        <v>500.5</v>
      </c>
      <c r="K100" s="118">
        <f>'Property Owner Services'!P19</f>
        <v>500.5</v>
      </c>
      <c r="L100" s="118">
        <f>'Property Owner Services'!Q19</f>
        <v>500.5</v>
      </c>
      <c r="M100" s="133">
        <f>'Property Owner Services'!C55</f>
        <v>41.708333333333336</v>
      </c>
      <c r="N100" s="133">
        <f>'Property Owner Services'!D55</f>
        <v>41.708333333333336</v>
      </c>
      <c r="O100" s="133">
        <f>'Property Owner Services'!E55</f>
        <v>41.708333333333336</v>
      </c>
      <c r="P100" s="133">
        <f>'Property Owner Services'!F55</f>
        <v>41.708333333333336</v>
      </c>
      <c r="Q100" s="133">
        <f>'Property Owner Services'!G55</f>
        <v>41.708333333333336</v>
      </c>
      <c r="R100" s="133">
        <f>'Property Owner Services'!H55</f>
        <v>41.708333333333336</v>
      </c>
      <c r="S100" s="133">
        <f>'Property Owner Services'!I55</f>
        <v>41.708333333333336</v>
      </c>
      <c r="T100" s="133">
        <f>'Property Owner Services'!J55</f>
        <v>41.708333333333336</v>
      </c>
      <c r="U100" s="133">
        <f>'Property Owner Services'!K55</f>
        <v>41.708333333333336</v>
      </c>
      <c r="V100" s="133">
        <f>'Property Owner Services'!L55</f>
        <v>41.708333333333336</v>
      </c>
      <c r="W100" s="133">
        <f>'Property Owner Services'!M55</f>
        <v>41.708333333333336</v>
      </c>
      <c r="X100" s="133">
        <f>'Property Owner Services'!N55</f>
        <v>41.708333333333336</v>
      </c>
      <c r="Y100" s="130">
        <f t="shared" si="9"/>
        <v>500.49999999999994</v>
      </c>
      <c r="Z100" s="113">
        <f t="shared" si="14"/>
        <v>0</v>
      </c>
    </row>
    <row r="101" spans="1:26" x14ac:dyDescent="0.25">
      <c r="A101" s="107"/>
      <c r="B101" s="107"/>
      <c r="C101" s="107"/>
      <c r="D101" s="107"/>
      <c r="E101" s="107"/>
      <c r="F101" s="132" t="s">
        <v>68</v>
      </c>
      <c r="G101" s="107"/>
      <c r="H101" s="118">
        <f>'Property Owner Services'!M20</f>
        <v>500</v>
      </c>
      <c r="I101" s="118">
        <f>'Property Owner Services'!N20</f>
        <v>500</v>
      </c>
      <c r="J101" s="118">
        <f>'Property Owner Services'!O20</f>
        <v>500</v>
      </c>
      <c r="K101" s="118">
        <f>'Property Owner Services'!P20</f>
        <v>500</v>
      </c>
      <c r="L101" s="118">
        <f>'Property Owner Services'!Q20</f>
        <v>500</v>
      </c>
      <c r="M101" s="133">
        <f>'Property Owner Services'!C56</f>
        <v>41.666666666666664</v>
      </c>
      <c r="N101" s="133">
        <f>'Property Owner Services'!D56</f>
        <v>41.666666666666664</v>
      </c>
      <c r="O101" s="133">
        <f>'Property Owner Services'!E56</f>
        <v>41.666666666666664</v>
      </c>
      <c r="P101" s="133">
        <f>'Property Owner Services'!F56</f>
        <v>41.666666666666664</v>
      </c>
      <c r="Q101" s="133">
        <f>'Property Owner Services'!G56</f>
        <v>41.666666666666664</v>
      </c>
      <c r="R101" s="133">
        <f>'Property Owner Services'!H56</f>
        <v>41.666666666666664</v>
      </c>
      <c r="S101" s="133">
        <f>'Property Owner Services'!I56</f>
        <v>41.666666666666664</v>
      </c>
      <c r="T101" s="133">
        <f>'Property Owner Services'!J56</f>
        <v>41.666666666666664</v>
      </c>
      <c r="U101" s="133">
        <f>'Property Owner Services'!K56</f>
        <v>41.666666666666664</v>
      </c>
      <c r="V101" s="133">
        <f>'Property Owner Services'!L56</f>
        <v>41.666666666666664</v>
      </c>
      <c r="W101" s="133">
        <f>'Property Owner Services'!M56</f>
        <v>41.666666666666664</v>
      </c>
      <c r="X101" s="133">
        <f>'Property Owner Services'!N56</f>
        <v>41.666666666666664</v>
      </c>
      <c r="Y101" s="130">
        <f t="shared" si="9"/>
        <v>500.00000000000006</v>
      </c>
      <c r="Z101" s="113">
        <f t="shared" si="14"/>
        <v>0</v>
      </c>
    </row>
    <row r="102" spans="1:26" x14ac:dyDescent="0.25">
      <c r="A102" s="107"/>
      <c r="B102" s="107"/>
      <c r="C102" s="107"/>
      <c r="D102" s="107"/>
      <c r="E102" s="107"/>
      <c r="F102" s="132" t="s">
        <v>69</v>
      </c>
      <c r="G102" s="107"/>
      <c r="H102" s="118">
        <f>'Property Owner Services'!M21</f>
        <v>735.25</v>
      </c>
      <c r="I102" s="118">
        <f>'Property Owner Services'!N21</f>
        <v>700</v>
      </c>
      <c r="J102" s="118">
        <f>'Property Owner Services'!O21</f>
        <v>735.25</v>
      </c>
      <c r="K102" s="118">
        <f>'Property Owner Services'!P21</f>
        <v>700</v>
      </c>
      <c r="L102" s="118">
        <f>'Property Owner Services'!Q21</f>
        <v>735.25</v>
      </c>
      <c r="M102" s="133">
        <f>'Property Owner Services'!C57</f>
        <v>61.270833333333336</v>
      </c>
      <c r="N102" s="133">
        <f>'Property Owner Services'!D57</f>
        <v>61.270833333333336</v>
      </c>
      <c r="O102" s="133">
        <f>'Property Owner Services'!E57</f>
        <v>61.270833333333336</v>
      </c>
      <c r="P102" s="133">
        <f>'Property Owner Services'!F57</f>
        <v>61.270833333333336</v>
      </c>
      <c r="Q102" s="133">
        <f>'Property Owner Services'!G57</f>
        <v>61.270833333333336</v>
      </c>
      <c r="R102" s="133">
        <f>'Property Owner Services'!H57</f>
        <v>61.270833333333336</v>
      </c>
      <c r="S102" s="133">
        <f>'Property Owner Services'!I57</f>
        <v>61.270833333333336</v>
      </c>
      <c r="T102" s="133">
        <f>'Property Owner Services'!J57</f>
        <v>61.270833333333336</v>
      </c>
      <c r="U102" s="133">
        <f>'Property Owner Services'!K57</f>
        <v>61.270833333333336</v>
      </c>
      <c r="V102" s="133">
        <f>'Property Owner Services'!L57</f>
        <v>61.270833333333336</v>
      </c>
      <c r="W102" s="133">
        <f>'Property Owner Services'!M57</f>
        <v>61.270833333333336</v>
      </c>
      <c r="X102" s="133">
        <f>'Property Owner Services'!N57</f>
        <v>61.270833333333336</v>
      </c>
      <c r="Y102" s="130">
        <f t="shared" si="9"/>
        <v>735.25000000000011</v>
      </c>
      <c r="Z102" s="113">
        <f t="shared" si="14"/>
        <v>0</v>
      </c>
    </row>
    <row r="103" spans="1:26" x14ac:dyDescent="0.25">
      <c r="A103" s="107"/>
      <c r="B103" s="107"/>
      <c r="C103" s="107"/>
      <c r="D103" s="107"/>
      <c r="E103" s="107"/>
      <c r="F103" s="132" t="s">
        <v>70</v>
      </c>
      <c r="G103" s="107"/>
      <c r="H103" s="118">
        <f>'Property Owner Services'!M22</f>
        <v>135</v>
      </c>
      <c r="I103" s="118">
        <f>'Property Owner Services'!N22</f>
        <v>135</v>
      </c>
      <c r="J103" s="118">
        <f>'Property Owner Services'!O22</f>
        <v>135</v>
      </c>
      <c r="K103" s="118">
        <f>'Property Owner Services'!P22</f>
        <v>135</v>
      </c>
      <c r="L103" s="118">
        <f>'Property Owner Services'!Q22</f>
        <v>135</v>
      </c>
      <c r="M103" s="133">
        <f>'Property Owner Services'!C58</f>
        <v>11.25</v>
      </c>
      <c r="N103" s="133">
        <f>'Property Owner Services'!D58</f>
        <v>11.25</v>
      </c>
      <c r="O103" s="133">
        <f>'Property Owner Services'!E58</f>
        <v>11.25</v>
      </c>
      <c r="P103" s="133">
        <f>'Property Owner Services'!F58</f>
        <v>11.25</v>
      </c>
      <c r="Q103" s="133">
        <f>'Property Owner Services'!G58</f>
        <v>11.25</v>
      </c>
      <c r="R103" s="133">
        <f>'Property Owner Services'!H58</f>
        <v>11.25</v>
      </c>
      <c r="S103" s="133">
        <f>'Property Owner Services'!I58</f>
        <v>11.25</v>
      </c>
      <c r="T103" s="133">
        <f>'Property Owner Services'!J58</f>
        <v>11.25</v>
      </c>
      <c r="U103" s="133">
        <f>'Property Owner Services'!K58</f>
        <v>11.25</v>
      </c>
      <c r="V103" s="133">
        <f>'Property Owner Services'!L58</f>
        <v>11.25</v>
      </c>
      <c r="W103" s="133">
        <f>'Property Owner Services'!M58</f>
        <v>11.25</v>
      </c>
      <c r="X103" s="133">
        <f>'Property Owner Services'!N58</f>
        <v>11.25</v>
      </c>
      <c r="Y103" s="130">
        <f t="shared" si="9"/>
        <v>135</v>
      </c>
      <c r="Z103" s="113">
        <f t="shared" si="14"/>
        <v>0</v>
      </c>
    </row>
    <row r="104" spans="1:26" x14ac:dyDescent="0.25">
      <c r="A104" s="107"/>
      <c r="B104" s="107"/>
      <c r="C104" s="107"/>
      <c r="D104" s="107"/>
      <c r="E104" s="107"/>
      <c r="F104" s="132" t="s">
        <v>71</v>
      </c>
      <c r="G104" s="107"/>
      <c r="H104" s="118">
        <f>'Property Owner Services'!M23</f>
        <v>225</v>
      </c>
      <c r="I104" s="118">
        <f>'Property Owner Services'!N23</f>
        <v>225</v>
      </c>
      <c r="J104" s="118">
        <f>'Property Owner Services'!O23</f>
        <v>225</v>
      </c>
      <c r="K104" s="118">
        <f>'Property Owner Services'!P23</f>
        <v>225</v>
      </c>
      <c r="L104" s="118">
        <f>'Property Owner Services'!Q23</f>
        <v>225</v>
      </c>
      <c r="M104" s="133">
        <f>'Property Owner Services'!C59</f>
        <v>18.75</v>
      </c>
      <c r="N104" s="133">
        <f>'Property Owner Services'!D59</f>
        <v>18.75</v>
      </c>
      <c r="O104" s="133">
        <f>'Property Owner Services'!E59</f>
        <v>18.75</v>
      </c>
      <c r="P104" s="133">
        <f>'Property Owner Services'!F59</f>
        <v>18.75</v>
      </c>
      <c r="Q104" s="133">
        <f>'Property Owner Services'!G59</f>
        <v>18.75</v>
      </c>
      <c r="R104" s="133">
        <f>'Property Owner Services'!H59</f>
        <v>18.75</v>
      </c>
      <c r="S104" s="133">
        <f>'Property Owner Services'!I59</f>
        <v>18.75</v>
      </c>
      <c r="T104" s="133">
        <f>'Property Owner Services'!J59</f>
        <v>18.75</v>
      </c>
      <c r="U104" s="133">
        <f>'Property Owner Services'!K59</f>
        <v>18.75</v>
      </c>
      <c r="V104" s="133">
        <f>'Property Owner Services'!L59</f>
        <v>18.75</v>
      </c>
      <c r="W104" s="133">
        <f>'Property Owner Services'!M59</f>
        <v>18.75</v>
      </c>
      <c r="X104" s="133">
        <f>'Property Owner Services'!N59</f>
        <v>18.75</v>
      </c>
      <c r="Y104" s="130">
        <f t="shared" si="9"/>
        <v>225</v>
      </c>
      <c r="Z104" s="113">
        <f t="shared" si="14"/>
        <v>0</v>
      </c>
    </row>
    <row r="105" spans="1:26" x14ac:dyDescent="0.25">
      <c r="A105" s="107"/>
      <c r="B105" s="107"/>
      <c r="C105" s="107"/>
      <c r="D105" s="107"/>
      <c r="E105" s="107"/>
      <c r="F105" s="132" t="s">
        <v>72</v>
      </c>
      <c r="G105" s="107"/>
      <c r="H105" s="118">
        <f>'Property Owner Services'!M24</f>
        <v>0</v>
      </c>
      <c r="I105" s="118">
        <f>'Property Owner Services'!N24</f>
        <v>0</v>
      </c>
      <c r="J105" s="118">
        <f>'Property Owner Services'!O24</f>
        <v>0</v>
      </c>
      <c r="K105" s="118">
        <f>'Property Owner Services'!P24</f>
        <v>0</v>
      </c>
      <c r="L105" s="118">
        <f>'Property Owner Services'!Q24</f>
        <v>0</v>
      </c>
      <c r="M105" s="133">
        <f>'Property Owner Services'!C60</f>
        <v>0</v>
      </c>
      <c r="N105" s="133">
        <f>'Property Owner Services'!D60</f>
        <v>0</v>
      </c>
      <c r="O105" s="133">
        <f>'Property Owner Services'!E60</f>
        <v>0</v>
      </c>
      <c r="P105" s="133">
        <f>'Property Owner Services'!F60</f>
        <v>0</v>
      </c>
      <c r="Q105" s="133">
        <f>'Property Owner Services'!G60</f>
        <v>0</v>
      </c>
      <c r="R105" s="133">
        <f>'Property Owner Services'!H60</f>
        <v>0</v>
      </c>
      <c r="S105" s="133">
        <f>'Property Owner Services'!I60</f>
        <v>0</v>
      </c>
      <c r="T105" s="133">
        <f>'Property Owner Services'!J60</f>
        <v>0</v>
      </c>
      <c r="U105" s="133">
        <f>'Property Owner Services'!K60</f>
        <v>0</v>
      </c>
      <c r="V105" s="133">
        <f>'Property Owner Services'!L60</f>
        <v>0</v>
      </c>
      <c r="W105" s="133">
        <f>'Property Owner Services'!M60</f>
        <v>0</v>
      </c>
      <c r="X105" s="133">
        <f>'Property Owner Services'!N60</f>
        <v>0</v>
      </c>
      <c r="Y105" s="130">
        <f t="shared" si="9"/>
        <v>0</v>
      </c>
      <c r="Z105" s="113">
        <f t="shared" si="14"/>
        <v>0</v>
      </c>
    </row>
    <row r="106" spans="1:26" x14ac:dyDescent="0.25">
      <c r="A106" s="107"/>
      <c r="B106" s="107"/>
      <c r="C106" s="107"/>
      <c r="D106" s="107"/>
      <c r="E106" s="107"/>
      <c r="F106" s="132" t="s">
        <v>73</v>
      </c>
      <c r="G106" s="107"/>
      <c r="H106" s="118">
        <f>'Property Owner Services'!M25</f>
        <v>761</v>
      </c>
      <c r="I106" s="118">
        <f>'Property Owner Services'!N25</f>
        <v>165.83</v>
      </c>
      <c r="J106" s="118">
        <f>'Property Owner Services'!O25</f>
        <v>168.31745000000001</v>
      </c>
      <c r="K106" s="118">
        <f>'Property Owner Services'!P25</f>
        <v>170.84221174999999</v>
      </c>
      <c r="L106" s="118">
        <f>'Property Owner Services'!Q25</f>
        <v>173.40484492624998</v>
      </c>
      <c r="M106" s="133">
        <f>'Property Owner Services'!C61</f>
        <v>63.416666666666664</v>
      </c>
      <c r="N106" s="133">
        <f>'Property Owner Services'!D61</f>
        <v>63.416666666666664</v>
      </c>
      <c r="O106" s="133">
        <f>'Property Owner Services'!E61</f>
        <v>63.416666666666664</v>
      </c>
      <c r="P106" s="133">
        <f>'Property Owner Services'!F61</f>
        <v>63.416666666666664</v>
      </c>
      <c r="Q106" s="133">
        <f>'Property Owner Services'!G61</f>
        <v>63.416666666666664</v>
      </c>
      <c r="R106" s="133">
        <f>'Property Owner Services'!H61</f>
        <v>63.416666666666664</v>
      </c>
      <c r="S106" s="133">
        <f>'Property Owner Services'!I61</f>
        <v>63.416666666666664</v>
      </c>
      <c r="T106" s="133">
        <f>'Property Owner Services'!J61</f>
        <v>63.416666666666664</v>
      </c>
      <c r="U106" s="133">
        <f>'Property Owner Services'!K61</f>
        <v>63.416666666666664</v>
      </c>
      <c r="V106" s="133">
        <f>'Property Owner Services'!L61</f>
        <v>63.416666666666664</v>
      </c>
      <c r="W106" s="133">
        <f>'Property Owner Services'!M61</f>
        <v>63.416666666666664</v>
      </c>
      <c r="X106" s="133">
        <f>'Property Owner Services'!N61</f>
        <v>63.416666666666664</v>
      </c>
      <c r="Y106" s="130">
        <f t="shared" si="9"/>
        <v>760.99999999999989</v>
      </c>
      <c r="Z106" s="113">
        <f t="shared" si="14"/>
        <v>0</v>
      </c>
    </row>
    <row r="107" spans="1:26" x14ac:dyDescent="0.25">
      <c r="A107" s="107"/>
      <c r="B107" s="107"/>
      <c r="C107" s="107"/>
      <c r="D107" s="107"/>
      <c r="E107" s="107"/>
      <c r="F107" s="132" t="s">
        <v>74</v>
      </c>
      <c r="G107" s="107"/>
      <c r="H107" s="118">
        <f>'Property Owner Services'!M26</f>
        <v>300</v>
      </c>
      <c r="I107" s="118">
        <f>'Property Owner Services'!N26</f>
        <v>300</v>
      </c>
      <c r="J107" s="118">
        <f>'Property Owner Services'!O26</f>
        <v>300</v>
      </c>
      <c r="K107" s="118">
        <f>'Property Owner Services'!P26</f>
        <v>300</v>
      </c>
      <c r="L107" s="118">
        <f>'Property Owner Services'!Q26</f>
        <v>300</v>
      </c>
      <c r="M107" s="133">
        <f>'Property Owner Services'!C62</f>
        <v>25</v>
      </c>
      <c r="N107" s="133">
        <f>'Property Owner Services'!D62</f>
        <v>25</v>
      </c>
      <c r="O107" s="133">
        <f>'Property Owner Services'!E62</f>
        <v>25</v>
      </c>
      <c r="P107" s="133">
        <f>'Property Owner Services'!F62</f>
        <v>25</v>
      </c>
      <c r="Q107" s="133">
        <f>'Property Owner Services'!G62</f>
        <v>25</v>
      </c>
      <c r="R107" s="133">
        <f>'Property Owner Services'!H62</f>
        <v>25</v>
      </c>
      <c r="S107" s="133">
        <f>'Property Owner Services'!I62</f>
        <v>25</v>
      </c>
      <c r="T107" s="133">
        <f>'Property Owner Services'!J62</f>
        <v>25</v>
      </c>
      <c r="U107" s="133">
        <f>'Property Owner Services'!K62</f>
        <v>25</v>
      </c>
      <c r="V107" s="133">
        <f>'Property Owner Services'!L62</f>
        <v>25</v>
      </c>
      <c r="W107" s="133">
        <f>'Property Owner Services'!M62</f>
        <v>25</v>
      </c>
      <c r="X107" s="133">
        <f>'Property Owner Services'!N62</f>
        <v>25</v>
      </c>
      <c r="Y107" s="130">
        <f t="shared" si="9"/>
        <v>300</v>
      </c>
      <c r="Z107" s="113">
        <f t="shared" si="14"/>
        <v>0</v>
      </c>
    </row>
    <row r="108" spans="1:26" x14ac:dyDescent="0.25">
      <c r="A108" s="107"/>
      <c r="B108" s="107"/>
      <c r="C108" s="107"/>
      <c r="D108" s="107"/>
      <c r="E108" s="107"/>
      <c r="F108" s="132" t="s">
        <v>75</v>
      </c>
      <c r="G108" s="107"/>
      <c r="H108" s="118">
        <f>'Property Owner Services'!M27</f>
        <v>0</v>
      </c>
      <c r="I108" s="118">
        <f>'Property Owner Services'!N27</f>
        <v>0</v>
      </c>
      <c r="J108" s="118">
        <f>'Property Owner Services'!O27</f>
        <v>0</v>
      </c>
      <c r="K108" s="118">
        <f>'Property Owner Services'!P27</f>
        <v>0</v>
      </c>
      <c r="L108" s="118">
        <f>'Property Owner Services'!Q27</f>
        <v>0</v>
      </c>
      <c r="M108" s="133">
        <f>'Property Owner Services'!C63</f>
        <v>0</v>
      </c>
      <c r="N108" s="133">
        <f>'Property Owner Services'!D63</f>
        <v>0</v>
      </c>
      <c r="O108" s="133">
        <f>'Property Owner Services'!E63</f>
        <v>0</v>
      </c>
      <c r="P108" s="133">
        <f>'Property Owner Services'!F63</f>
        <v>0</v>
      </c>
      <c r="Q108" s="133">
        <f>'Property Owner Services'!G63</f>
        <v>0</v>
      </c>
      <c r="R108" s="133">
        <f>'Property Owner Services'!H63</f>
        <v>0</v>
      </c>
      <c r="S108" s="133">
        <f>'Property Owner Services'!I63</f>
        <v>0</v>
      </c>
      <c r="T108" s="133">
        <f>'Property Owner Services'!J63</f>
        <v>0</v>
      </c>
      <c r="U108" s="133">
        <f>'Property Owner Services'!K63</f>
        <v>0</v>
      </c>
      <c r="V108" s="133">
        <f>'Property Owner Services'!L63</f>
        <v>0</v>
      </c>
      <c r="W108" s="133">
        <f>'Property Owner Services'!M63</f>
        <v>0</v>
      </c>
      <c r="X108" s="133">
        <f>'Property Owner Services'!N63</f>
        <v>0</v>
      </c>
      <c r="Y108" s="130">
        <f t="shared" si="9"/>
        <v>0</v>
      </c>
      <c r="Z108" s="113">
        <f t="shared" si="14"/>
        <v>0</v>
      </c>
    </row>
    <row r="109" spans="1:26" x14ac:dyDescent="0.25">
      <c r="A109" s="107"/>
      <c r="B109" s="107"/>
      <c r="C109" s="107"/>
      <c r="D109" s="107"/>
      <c r="E109" s="107"/>
      <c r="F109" s="132" t="s">
        <v>76</v>
      </c>
      <c r="G109" s="107"/>
      <c r="H109" s="118">
        <f>'Property Owner Services'!M28</f>
        <v>0</v>
      </c>
      <c r="I109" s="118">
        <f>'Property Owner Services'!N28</f>
        <v>0</v>
      </c>
      <c r="J109" s="118">
        <f>'Property Owner Services'!O28</f>
        <v>0</v>
      </c>
      <c r="K109" s="118">
        <f>'Property Owner Services'!P28</f>
        <v>0</v>
      </c>
      <c r="L109" s="118">
        <f>'Property Owner Services'!Q28</f>
        <v>0</v>
      </c>
      <c r="M109" s="133">
        <f>'Property Owner Services'!C64</f>
        <v>0</v>
      </c>
      <c r="N109" s="133">
        <f>'Property Owner Services'!D64</f>
        <v>0</v>
      </c>
      <c r="O109" s="133">
        <f>'Property Owner Services'!E64</f>
        <v>0</v>
      </c>
      <c r="P109" s="133">
        <f>'Property Owner Services'!F64</f>
        <v>0</v>
      </c>
      <c r="Q109" s="133">
        <f>'Property Owner Services'!G64</f>
        <v>0</v>
      </c>
      <c r="R109" s="133">
        <f>'Property Owner Services'!H64</f>
        <v>0</v>
      </c>
      <c r="S109" s="133">
        <f>'Property Owner Services'!I64</f>
        <v>0</v>
      </c>
      <c r="T109" s="133">
        <f>'Property Owner Services'!J64</f>
        <v>0</v>
      </c>
      <c r="U109" s="133">
        <f>'Property Owner Services'!K64</f>
        <v>0</v>
      </c>
      <c r="V109" s="133">
        <f>'Property Owner Services'!L64</f>
        <v>0</v>
      </c>
      <c r="W109" s="133">
        <f>'Property Owner Services'!M64</f>
        <v>0</v>
      </c>
      <c r="X109" s="133">
        <f>'Property Owner Services'!N64</f>
        <v>0</v>
      </c>
      <c r="Y109" s="130">
        <f t="shared" si="9"/>
        <v>0</v>
      </c>
      <c r="Z109" s="113">
        <f t="shared" si="14"/>
        <v>0</v>
      </c>
    </row>
    <row r="110" spans="1:26" x14ac:dyDescent="0.25">
      <c r="A110" s="107"/>
      <c r="B110" s="107"/>
      <c r="C110" s="107"/>
      <c r="D110" s="107"/>
      <c r="E110" s="107"/>
      <c r="F110" s="132" t="s">
        <v>77</v>
      </c>
      <c r="G110" s="107"/>
      <c r="H110" s="118">
        <f>'Property Owner Services'!M29</f>
        <v>150</v>
      </c>
      <c r="I110" s="118">
        <f>'Property Owner Services'!N29</f>
        <v>150</v>
      </c>
      <c r="J110" s="118">
        <f>'Property Owner Services'!O29</f>
        <v>150</v>
      </c>
      <c r="K110" s="118">
        <f>'Property Owner Services'!P29</f>
        <v>150</v>
      </c>
      <c r="L110" s="118">
        <f>'Property Owner Services'!Q29</f>
        <v>150</v>
      </c>
      <c r="M110" s="133">
        <f>'Property Owner Services'!C65</f>
        <v>12.5</v>
      </c>
      <c r="N110" s="133">
        <f>'Property Owner Services'!D65</f>
        <v>12.5</v>
      </c>
      <c r="O110" s="133">
        <f>'Property Owner Services'!E65</f>
        <v>12.5</v>
      </c>
      <c r="P110" s="133">
        <f>'Property Owner Services'!F65</f>
        <v>12.5</v>
      </c>
      <c r="Q110" s="133">
        <f>'Property Owner Services'!G65</f>
        <v>12.5</v>
      </c>
      <c r="R110" s="133">
        <f>'Property Owner Services'!H65</f>
        <v>12.5</v>
      </c>
      <c r="S110" s="133">
        <f>'Property Owner Services'!I65</f>
        <v>12.5</v>
      </c>
      <c r="T110" s="133">
        <f>'Property Owner Services'!J65</f>
        <v>12.5</v>
      </c>
      <c r="U110" s="133">
        <f>'Property Owner Services'!K65</f>
        <v>12.5</v>
      </c>
      <c r="V110" s="133">
        <f>'Property Owner Services'!L65</f>
        <v>12.5</v>
      </c>
      <c r="W110" s="133">
        <f>'Property Owner Services'!M65</f>
        <v>12.5</v>
      </c>
      <c r="X110" s="133">
        <f>'Property Owner Services'!N65</f>
        <v>12.5</v>
      </c>
      <c r="Y110" s="130">
        <f t="shared" si="9"/>
        <v>150</v>
      </c>
      <c r="Z110" s="113">
        <f t="shared" si="14"/>
        <v>0</v>
      </c>
    </row>
    <row r="111" spans="1:26" x14ac:dyDescent="0.25">
      <c r="A111" s="107"/>
      <c r="B111" s="107"/>
      <c r="C111" s="107"/>
      <c r="D111" s="107"/>
      <c r="E111" s="107"/>
      <c r="F111" s="132" t="s">
        <v>78</v>
      </c>
      <c r="G111" s="107"/>
      <c r="H111" s="118">
        <f>'Property Owner Services'!M30</f>
        <v>30810</v>
      </c>
      <c r="I111" s="118">
        <f>'Property Owner Services'!N30</f>
        <v>31734.3</v>
      </c>
      <c r="J111" s="118">
        <f>'Property Owner Services'!O30</f>
        <v>32686.329000000002</v>
      </c>
      <c r="K111" s="118">
        <f>'Property Owner Services'!P30</f>
        <v>33666.918870000001</v>
      </c>
      <c r="L111" s="118">
        <f>'Property Owner Services'!Q30</f>
        <v>34676.926436100002</v>
      </c>
      <c r="M111" s="133">
        <f>'Property Owner Services'!C66</f>
        <v>2567.5</v>
      </c>
      <c r="N111" s="133">
        <f>'Property Owner Services'!D66</f>
        <v>2567.5</v>
      </c>
      <c r="O111" s="133">
        <f>'Property Owner Services'!E66</f>
        <v>2567.5</v>
      </c>
      <c r="P111" s="133">
        <f>'Property Owner Services'!F66</f>
        <v>2567.5</v>
      </c>
      <c r="Q111" s="133">
        <f>'Property Owner Services'!G66</f>
        <v>2567.5</v>
      </c>
      <c r="R111" s="133">
        <f>'Property Owner Services'!H66</f>
        <v>2567.5</v>
      </c>
      <c r="S111" s="133">
        <f>'Property Owner Services'!I66</f>
        <v>2567.5</v>
      </c>
      <c r="T111" s="133">
        <f>'Property Owner Services'!J66</f>
        <v>2567.5</v>
      </c>
      <c r="U111" s="133">
        <f>'Property Owner Services'!K66</f>
        <v>2567.5</v>
      </c>
      <c r="V111" s="133">
        <f>'Property Owner Services'!L66</f>
        <v>2567.5</v>
      </c>
      <c r="W111" s="133">
        <f>'Property Owner Services'!M66</f>
        <v>2567.5</v>
      </c>
      <c r="X111" s="133">
        <f>'Property Owner Services'!N66</f>
        <v>2567.5</v>
      </c>
      <c r="Y111" s="130">
        <f t="shared" si="9"/>
        <v>30810</v>
      </c>
      <c r="Z111" s="113">
        <f t="shared" si="14"/>
        <v>0</v>
      </c>
    </row>
    <row r="112" spans="1:26" x14ac:dyDescent="0.25">
      <c r="A112" s="107"/>
      <c r="B112" s="107"/>
      <c r="C112" s="107"/>
      <c r="D112" s="107"/>
      <c r="E112" s="107"/>
      <c r="F112" s="132" t="s">
        <v>79</v>
      </c>
      <c r="G112" s="107"/>
      <c r="H112" s="118">
        <f>'Property Owner Services'!M31</f>
        <v>0</v>
      </c>
      <c r="I112" s="118">
        <f>'Property Owner Services'!N31</f>
        <v>0</v>
      </c>
      <c r="J112" s="118">
        <f>'Property Owner Services'!O31</f>
        <v>0</v>
      </c>
      <c r="K112" s="118">
        <f>'Property Owner Services'!P31</f>
        <v>0</v>
      </c>
      <c r="L112" s="118">
        <f>'Property Owner Services'!Q31</f>
        <v>0</v>
      </c>
      <c r="M112" s="133">
        <f>'Property Owner Services'!C67</f>
        <v>0</v>
      </c>
      <c r="N112" s="133">
        <f>'Property Owner Services'!D67</f>
        <v>0</v>
      </c>
      <c r="O112" s="133">
        <f>'Property Owner Services'!E67</f>
        <v>0</v>
      </c>
      <c r="P112" s="133">
        <f>'Property Owner Services'!F67</f>
        <v>0</v>
      </c>
      <c r="Q112" s="133">
        <f>'Property Owner Services'!G67</f>
        <v>0</v>
      </c>
      <c r="R112" s="133">
        <f>'Property Owner Services'!H67</f>
        <v>0</v>
      </c>
      <c r="S112" s="133">
        <f>'Property Owner Services'!I67</f>
        <v>0</v>
      </c>
      <c r="T112" s="133">
        <f>'Property Owner Services'!J67</f>
        <v>0</v>
      </c>
      <c r="U112" s="133">
        <f>'Property Owner Services'!K67</f>
        <v>0</v>
      </c>
      <c r="V112" s="133">
        <f>'Property Owner Services'!L67</f>
        <v>0</v>
      </c>
      <c r="W112" s="133">
        <f>'Property Owner Services'!M67</f>
        <v>0</v>
      </c>
      <c r="X112" s="133">
        <f>'Property Owner Services'!N67</f>
        <v>0</v>
      </c>
      <c r="Y112" s="130">
        <f t="shared" si="9"/>
        <v>0</v>
      </c>
      <c r="Z112" s="113">
        <f t="shared" si="14"/>
        <v>0</v>
      </c>
    </row>
    <row r="113" spans="1:26" x14ac:dyDescent="0.25">
      <c r="A113" s="107"/>
      <c r="B113" s="107"/>
      <c r="C113" s="107"/>
      <c r="D113" s="107"/>
      <c r="E113" s="107"/>
      <c r="F113" s="132" t="s">
        <v>80</v>
      </c>
      <c r="G113" s="107"/>
      <c r="H113" s="118">
        <f>'Property Owner Services'!M32</f>
        <v>15600</v>
      </c>
      <c r="I113" s="118">
        <f>'Property Owner Services'!N32</f>
        <v>16068</v>
      </c>
      <c r="J113" s="118">
        <f>'Property Owner Services'!O32</f>
        <v>16550.04</v>
      </c>
      <c r="K113" s="118">
        <f>'Property Owner Services'!P32</f>
        <v>17046.5412</v>
      </c>
      <c r="L113" s="118">
        <f>'Property Owner Services'!Q32</f>
        <v>17557.937436</v>
      </c>
      <c r="M113" s="133">
        <f>'Property Owner Services'!C68</f>
        <v>1300</v>
      </c>
      <c r="N113" s="133">
        <f>'Property Owner Services'!D68</f>
        <v>1300</v>
      </c>
      <c r="O113" s="133">
        <f>'Property Owner Services'!E68</f>
        <v>1300</v>
      </c>
      <c r="P113" s="133">
        <f>'Property Owner Services'!F68</f>
        <v>1300</v>
      </c>
      <c r="Q113" s="133">
        <f>'Property Owner Services'!G68</f>
        <v>1300</v>
      </c>
      <c r="R113" s="133">
        <f>'Property Owner Services'!H68</f>
        <v>1300</v>
      </c>
      <c r="S113" s="133">
        <f>'Property Owner Services'!I68</f>
        <v>1300</v>
      </c>
      <c r="T113" s="133">
        <f>'Property Owner Services'!J68</f>
        <v>1300</v>
      </c>
      <c r="U113" s="133">
        <f>'Property Owner Services'!K68</f>
        <v>1300</v>
      </c>
      <c r="V113" s="133">
        <f>'Property Owner Services'!L68</f>
        <v>1300</v>
      </c>
      <c r="W113" s="133">
        <f>'Property Owner Services'!M68</f>
        <v>1300</v>
      </c>
      <c r="X113" s="133">
        <f>'Property Owner Services'!N68</f>
        <v>1300</v>
      </c>
      <c r="Y113" s="130">
        <f t="shared" si="9"/>
        <v>15600</v>
      </c>
      <c r="Z113" s="113">
        <f t="shared" si="14"/>
        <v>0</v>
      </c>
    </row>
    <row r="114" spans="1:26" x14ac:dyDescent="0.25">
      <c r="A114" s="107"/>
      <c r="B114" s="107"/>
      <c r="C114" s="107"/>
      <c r="D114" s="107"/>
      <c r="E114" s="107"/>
      <c r="F114" s="132" t="s">
        <v>81</v>
      </c>
      <c r="G114" s="107"/>
      <c r="H114" s="118">
        <f>'Property Owner Services'!M33</f>
        <v>1260</v>
      </c>
      <c r="I114" s="118">
        <f>'Property Owner Services'!N33</f>
        <v>1278.8999999999999</v>
      </c>
      <c r="J114" s="118">
        <f>'Property Owner Services'!O33</f>
        <v>1298.0834999999997</v>
      </c>
      <c r="K114" s="118">
        <f>'Property Owner Services'!P33</f>
        <v>1317.5547524999995</v>
      </c>
      <c r="L114" s="118">
        <f>'Property Owner Services'!Q33</f>
        <v>1337.3180737874993</v>
      </c>
      <c r="M114" s="133">
        <f>'Property Owner Services'!C69</f>
        <v>105</v>
      </c>
      <c r="N114" s="133">
        <f>'Property Owner Services'!D69</f>
        <v>105</v>
      </c>
      <c r="O114" s="133">
        <f>'Property Owner Services'!E69</f>
        <v>105</v>
      </c>
      <c r="P114" s="133">
        <f>'Property Owner Services'!F69</f>
        <v>105</v>
      </c>
      <c r="Q114" s="133">
        <f>'Property Owner Services'!G69</f>
        <v>105</v>
      </c>
      <c r="R114" s="133">
        <f>'Property Owner Services'!H69</f>
        <v>105</v>
      </c>
      <c r="S114" s="133">
        <f>'Property Owner Services'!I69</f>
        <v>105</v>
      </c>
      <c r="T114" s="133">
        <f>'Property Owner Services'!J69</f>
        <v>105</v>
      </c>
      <c r="U114" s="133">
        <f>'Property Owner Services'!K69</f>
        <v>105</v>
      </c>
      <c r="V114" s="133">
        <f>'Property Owner Services'!L69</f>
        <v>105</v>
      </c>
      <c r="W114" s="133">
        <f>'Property Owner Services'!M69</f>
        <v>105</v>
      </c>
      <c r="X114" s="133">
        <f>'Property Owner Services'!N69</f>
        <v>105</v>
      </c>
      <c r="Y114" s="130">
        <f t="shared" si="9"/>
        <v>1260</v>
      </c>
      <c r="Z114" s="113">
        <f t="shared" si="14"/>
        <v>0</v>
      </c>
    </row>
    <row r="115" spans="1:26" ht="15.75" thickBot="1" x14ac:dyDescent="0.3">
      <c r="A115" s="107"/>
      <c r="B115" s="107"/>
      <c r="C115" s="107"/>
      <c r="D115" s="107"/>
      <c r="E115" s="107"/>
      <c r="F115" s="132" t="s">
        <v>82</v>
      </c>
      <c r="G115" s="107"/>
      <c r="H115" s="134">
        <f>'Property Owner Services'!M34</f>
        <v>0</v>
      </c>
      <c r="I115" s="134">
        <f>'Property Owner Services'!N34</f>
        <v>0</v>
      </c>
      <c r="J115" s="134">
        <f>'Property Owner Services'!O34</f>
        <v>0</v>
      </c>
      <c r="K115" s="134">
        <f>'Property Owner Services'!P34</f>
        <v>0</v>
      </c>
      <c r="L115" s="134">
        <f>'Property Owner Services'!Q34</f>
        <v>0</v>
      </c>
      <c r="M115" s="134">
        <f>'Property Owner Services'!C70</f>
        <v>0</v>
      </c>
      <c r="N115" s="134">
        <f>'Property Owner Services'!D70</f>
        <v>0</v>
      </c>
      <c r="O115" s="134">
        <f>'Property Owner Services'!E70</f>
        <v>0</v>
      </c>
      <c r="P115" s="134">
        <f>'Property Owner Services'!F70</f>
        <v>0</v>
      </c>
      <c r="Q115" s="134">
        <f>'Property Owner Services'!G70</f>
        <v>0</v>
      </c>
      <c r="R115" s="134">
        <f>'Property Owner Services'!H70</f>
        <v>0</v>
      </c>
      <c r="S115" s="134">
        <f>'Property Owner Services'!I70</f>
        <v>0</v>
      </c>
      <c r="T115" s="134">
        <f>'Property Owner Services'!J70</f>
        <v>0</v>
      </c>
      <c r="U115" s="134">
        <f>'Property Owner Services'!K70</f>
        <v>0</v>
      </c>
      <c r="V115" s="134">
        <f>'Property Owner Services'!L70</f>
        <v>0</v>
      </c>
      <c r="W115" s="134">
        <f>'Property Owner Services'!M70</f>
        <v>0</v>
      </c>
      <c r="X115" s="134">
        <f>'Property Owner Services'!N70</f>
        <v>0</v>
      </c>
      <c r="Y115" s="135">
        <f t="shared" si="9"/>
        <v>0</v>
      </c>
      <c r="Z115" s="113">
        <f t="shared" si="14"/>
        <v>0</v>
      </c>
    </row>
    <row r="116" spans="1:26" x14ac:dyDescent="0.25">
      <c r="A116" s="107"/>
      <c r="B116" s="107"/>
      <c r="C116" s="107"/>
      <c r="D116" s="107"/>
      <c r="E116" s="107" t="s">
        <v>83</v>
      </c>
      <c r="F116" s="107"/>
      <c r="G116" s="107"/>
      <c r="H116" s="118">
        <f>ROUND(SUM(H85:H115),5)</f>
        <v>99162.323250000001</v>
      </c>
      <c r="I116" s="118">
        <f t="shared" ref="I116:Y116" si="15">ROUND(SUM(I85:I115),5)</f>
        <v>100671.51694</v>
      </c>
      <c r="J116" s="118">
        <f t="shared" si="15"/>
        <v>103087.35051</v>
      </c>
      <c r="K116" s="118">
        <f t="shared" si="15"/>
        <v>105491.03092</v>
      </c>
      <c r="L116" s="118">
        <f t="shared" si="15"/>
        <v>108025.18085999999</v>
      </c>
      <c r="M116" s="118">
        <f t="shared" si="15"/>
        <v>8263.5269399999997</v>
      </c>
      <c r="N116" s="118">
        <f t="shared" si="15"/>
        <v>8263.5269399999997</v>
      </c>
      <c r="O116" s="118">
        <f t="shared" si="15"/>
        <v>8263.5269399999997</v>
      </c>
      <c r="P116" s="118">
        <f t="shared" si="15"/>
        <v>8263.5269399999997</v>
      </c>
      <c r="Q116" s="118">
        <f t="shared" si="15"/>
        <v>8263.5269399999997</v>
      </c>
      <c r="R116" s="118">
        <f t="shared" si="15"/>
        <v>8263.5269399999997</v>
      </c>
      <c r="S116" s="118">
        <f t="shared" si="15"/>
        <v>8263.5269399999997</v>
      </c>
      <c r="T116" s="118">
        <f t="shared" si="15"/>
        <v>8263.5269399999997</v>
      </c>
      <c r="U116" s="118">
        <f t="shared" si="15"/>
        <v>8263.5269399999997</v>
      </c>
      <c r="V116" s="118">
        <f t="shared" si="15"/>
        <v>8263.5269399999997</v>
      </c>
      <c r="W116" s="118">
        <f t="shared" si="15"/>
        <v>8263.5269399999997</v>
      </c>
      <c r="X116" s="118">
        <f t="shared" si="15"/>
        <v>8263.5269399999997</v>
      </c>
      <c r="Y116" s="118">
        <f t="shared" si="15"/>
        <v>99162.323250000001</v>
      </c>
      <c r="Z116" s="113">
        <f t="shared" si="14"/>
        <v>0</v>
      </c>
    </row>
    <row r="117" spans="1:26" x14ac:dyDescent="0.25">
      <c r="A117" s="107"/>
      <c r="B117" s="107"/>
      <c r="C117" s="107"/>
      <c r="D117" s="107"/>
      <c r="E117" s="107" t="s">
        <v>84</v>
      </c>
      <c r="F117" s="107"/>
      <c r="G117" s="107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30"/>
    </row>
    <row r="118" spans="1:26" x14ac:dyDescent="0.25">
      <c r="A118" s="107"/>
      <c r="B118" s="107"/>
      <c r="C118" s="107"/>
      <c r="D118" s="107"/>
      <c r="E118" s="107"/>
      <c r="F118" s="132" t="s">
        <v>85</v>
      </c>
      <c r="G118" s="107"/>
      <c r="H118" s="118">
        <v>0</v>
      </c>
      <c r="I118" s="118">
        <v>0</v>
      </c>
      <c r="J118" s="118">
        <v>0</v>
      </c>
      <c r="K118" s="118">
        <v>0</v>
      </c>
      <c r="L118" s="118">
        <v>0</v>
      </c>
      <c r="M118" s="118">
        <v>0</v>
      </c>
      <c r="N118" s="118">
        <v>0</v>
      </c>
      <c r="O118" s="118">
        <v>0</v>
      </c>
      <c r="P118" s="118">
        <v>0</v>
      </c>
      <c r="Q118" s="118">
        <v>0</v>
      </c>
      <c r="R118" s="118">
        <v>0</v>
      </c>
      <c r="S118" s="118">
        <v>0</v>
      </c>
      <c r="T118" s="118">
        <v>0</v>
      </c>
      <c r="U118" s="118">
        <v>0</v>
      </c>
      <c r="V118" s="118">
        <v>0</v>
      </c>
      <c r="W118" s="118">
        <v>0</v>
      </c>
      <c r="X118" s="118">
        <v>0</v>
      </c>
      <c r="Y118" s="130">
        <f t="shared" si="9"/>
        <v>0</v>
      </c>
      <c r="Z118" s="113">
        <f t="shared" ref="Z118:Z157" si="16">ROUND(Y118-H118,0)</f>
        <v>0</v>
      </c>
    </row>
    <row r="119" spans="1:26" x14ac:dyDescent="0.25">
      <c r="A119" s="107"/>
      <c r="B119" s="107"/>
      <c r="C119" s="107"/>
      <c r="D119" s="107"/>
      <c r="E119" s="107"/>
      <c r="F119" s="132" t="s">
        <v>86</v>
      </c>
      <c r="G119" s="107"/>
      <c r="H119" s="118">
        <f>'Master Input Tab'!$B$47</f>
        <v>0</v>
      </c>
      <c r="I119" s="118">
        <f>'Master Input Tab'!$B$47</f>
        <v>0</v>
      </c>
      <c r="J119" s="118">
        <f>'Master Input Tab'!$B$47</f>
        <v>0</v>
      </c>
      <c r="K119" s="118">
        <f>'Master Input Tab'!$B$47</f>
        <v>0</v>
      </c>
      <c r="L119" s="118">
        <f>'Master Input Tab'!$B$47</f>
        <v>0</v>
      </c>
      <c r="M119" s="118">
        <f>'Master Input Tab'!$B$47/'Master Input Tab'!$B$6</f>
        <v>0</v>
      </c>
      <c r="N119" s="118">
        <f>'Master Input Tab'!$B$47/'Master Input Tab'!$B$6</f>
        <v>0</v>
      </c>
      <c r="O119" s="118">
        <f>'Master Input Tab'!$B$47/'Master Input Tab'!$B$6</f>
        <v>0</v>
      </c>
      <c r="P119" s="118">
        <f>'Master Input Tab'!$B$47/'Master Input Tab'!$B$6</f>
        <v>0</v>
      </c>
      <c r="Q119" s="118">
        <f>'Master Input Tab'!$B$47/'Master Input Tab'!$B$6</f>
        <v>0</v>
      </c>
      <c r="R119" s="118">
        <f>'Master Input Tab'!$B$47/'Master Input Tab'!$B$6</f>
        <v>0</v>
      </c>
      <c r="S119" s="118">
        <f>'Master Input Tab'!$B$47/'Master Input Tab'!$B$6</f>
        <v>0</v>
      </c>
      <c r="T119" s="118">
        <f>'Master Input Tab'!$B$47/'Master Input Tab'!$B$6</f>
        <v>0</v>
      </c>
      <c r="U119" s="118">
        <f>'Master Input Tab'!$B$47/'Master Input Tab'!$B$6</f>
        <v>0</v>
      </c>
      <c r="V119" s="118">
        <f>'Master Input Tab'!$B$47/'Master Input Tab'!$B$6</f>
        <v>0</v>
      </c>
      <c r="W119" s="118">
        <f>'Master Input Tab'!$B$47/'Master Input Tab'!$B$6</f>
        <v>0</v>
      </c>
      <c r="X119" s="118">
        <f>'Master Input Tab'!$B$47/'Master Input Tab'!$B$6</f>
        <v>0</v>
      </c>
      <c r="Y119" s="130">
        <f t="shared" si="9"/>
        <v>0</v>
      </c>
      <c r="Z119" s="113">
        <f t="shared" si="16"/>
        <v>0</v>
      </c>
    </row>
    <row r="120" spans="1:26" x14ac:dyDescent="0.25">
      <c r="A120" s="107"/>
      <c r="B120" s="107"/>
      <c r="C120" s="107"/>
      <c r="D120" s="107"/>
      <c r="E120" s="107"/>
      <c r="F120" s="132" t="s">
        <v>87</v>
      </c>
      <c r="G120" s="107"/>
      <c r="H120" s="118">
        <f>'Roads &amp; Mowing (2)'!M6</f>
        <v>0</v>
      </c>
      <c r="I120" s="118">
        <f>'Roads &amp; Mowing (2)'!N6</f>
        <v>0</v>
      </c>
      <c r="J120" s="118">
        <f>'Roads &amp; Mowing (2)'!O6</f>
        <v>0</v>
      </c>
      <c r="K120" s="118">
        <f>'Roads &amp; Mowing (2)'!P6</f>
        <v>0</v>
      </c>
      <c r="L120" s="118">
        <f>'Roads &amp; Mowing (2)'!Q6</f>
        <v>0</v>
      </c>
      <c r="M120" s="118">
        <f>'Roads &amp; Mowing (2)'!C32</f>
        <v>0</v>
      </c>
      <c r="N120" s="118">
        <f>'Roads &amp; Mowing (2)'!D32</f>
        <v>0</v>
      </c>
      <c r="O120" s="118">
        <f>'Roads &amp; Mowing (2)'!E32</f>
        <v>0</v>
      </c>
      <c r="P120" s="118">
        <f>'Roads &amp; Mowing (2)'!F32</f>
        <v>0</v>
      </c>
      <c r="Q120" s="118">
        <f>'Roads &amp; Mowing (2)'!G32</f>
        <v>0</v>
      </c>
      <c r="R120" s="118">
        <f>'Roads &amp; Mowing (2)'!H32</f>
        <v>0</v>
      </c>
      <c r="S120" s="118">
        <f>'Roads &amp; Mowing (2)'!I32</f>
        <v>0</v>
      </c>
      <c r="T120" s="118">
        <f>'Roads &amp; Mowing (2)'!J32</f>
        <v>0</v>
      </c>
      <c r="U120" s="118">
        <f>'Roads &amp; Mowing (2)'!K32</f>
        <v>0</v>
      </c>
      <c r="V120" s="118">
        <f>'Roads &amp; Mowing (2)'!L32</f>
        <v>0</v>
      </c>
      <c r="W120" s="118">
        <f>'Roads &amp; Mowing (2)'!M32</f>
        <v>0</v>
      </c>
      <c r="X120" s="118">
        <f>'Roads &amp; Mowing (2)'!N32</f>
        <v>0</v>
      </c>
      <c r="Y120" s="130">
        <f t="shared" si="9"/>
        <v>0</v>
      </c>
      <c r="Z120" s="113">
        <f t="shared" si="16"/>
        <v>0</v>
      </c>
    </row>
    <row r="121" spans="1:26" x14ac:dyDescent="0.25">
      <c r="A121" s="107"/>
      <c r="B121" s="107"/>
      <c r="C121" s="107"/>
      <c r="D121" s="107"/>
      <c r="E121" s="107"/>
      <c r="F121" s="132" t="s">
        <v>88</v>
      </c>
      <c r="G121" s="107"/>
      <c r="H121" s="118">
        <f>'Roads &amp; Mowing (2)'!M7</f>
        <v>0</v>
      </c>
      <c r="I121" s="118">
        <f>'Roads &amp; Mowing (2)'!N7</f>
        <v>14000</v>
      </c>
      <c r="J121" s="118">
        <f>'Roads &amp; Mowing (2)'!O7</f>
        <v>0</v>
      </c>
      <c r="K121" s="118">
        <f>'Roads &amp; Mowing (2)'!P7</f>
        <v>0</v>
      </c>
      <c r="L121" s="118">
        <f>'Roads &amp; Mowing (2)'!Q7</f>
        <v>0</v>
      </c>
      <c r="M121" s="118">
        <f>'Roads &amp; Mowing (2)'!C33</f>
        <v>0</v>
      </c>
      <c r="N121" s="118">
        <f>'Roads &amp; Mowing (2)'!D33</f>
        <v>0</v>
      </c>
      <c r="O121" s="118">
        <f>'Roads &amp; Mowing (2)'!E33</f>
        <v>0</v>
      </c>
      <c r="P121" s="118">
        <f>'Roads &amp; Mowing (2)'!F33</f>
        <v>0</v>
      </c>
      <c r="Q121" s="118">
        <f>'Roads &amp; Mowing (2)'!G33</f>
        <v>0</v>
      </c>
      <c r="R121" s="118">
        <f>'Roads &amp; Mowing (2)'!H33</f>
        <v>0</v>
      </c>
      <c r="S121" s="118">
        <f>'Roads &amp; Mowing (2)'!I33</f>
        <v>0</v>
      </c>
      <c r="T121" s="118">
        <f>'Roads &amp; Mowing (2)'!J33</f>
        <v>0</v>
      </c>
      <c r="U121" s="118">
        <f>'Roads &amp; Mowing (2)'!K33</f>
        <v>0</v>
      </c>
      <c r="V121" s="118">
        <f>'Roads &amp; Mowing (2)'!L33</f>
        <v>0</v>
      </c>
      <c r="W121" s="118">
        <f>'Roads &amp; Mowing (2)'!M33</f>
        <v>0</v>
      </c>
      <c r="X121" s="118">
        <f>'Roads &amp; Mowing (2)'!N33</f>
        <v>0</v>
      </c>
      <c r="Y121" s="130">
        <f t="shared" si="9"/>
        <v>0</v>
      </c>
      <c r="Z121" s="113">
        <f t="shared" si="16"/>
        <v>0</v>
      </c>
    </row>
    <row r="122" spans="1:26" x14ac:dyDescent="0.25">
      <c r="A122" s="107"/>
      <c r="B122" s="107"/>
      <c r="C122" s="107"/>
      <c r="D122" s="107"/>
      <c r="E122" s="107"/>
      <c r="F122" s="132" t="s">
        <v>89</v>
      </c>
      <c r="G122" s="107"/>
      <c r="H122" s="118">
        <f>'Roads &amp; Mowing (2)'!M8</f>
        <v>6500</v>
      </c>
      <c r="I122" s="118">
        <f>'Roads &amp; Mowing (2)'!N8</f>
        <v>6597.4999999999991</v>
      </c>
      <c r="J122" s="118">
        <f>'Roads &amp; Mowing (2)'!O8</f>
        <v>6696.4624999999987</v>
      </c>
      <c r="K122" s="118">
        <f>'Roads &amp; Mowing (2)'!P8</f>
        <v>6796.9094374999977</v>
      </c>
      <c r="L122" s="118">
        <f>'Roads &amp; Mowing (2)'!Q8</f>
        <v>6898.8630790624966</v>
      </c>
      <c r="M122" s="118">
        <f>'Roads &amp; Mowing (2)'!C34</f>
        <v>541.66666666666663</v>
      </c>
      <c r="N122" s="118">
        <f>'Roads &amp; Mowing (2)'!D34</f>
        <v>541.66666666666663</v>
      </c>
      <c r="O122" s="118">
        <f>'Roads &amp; Mowing (2)'!E34</f>
        <v>541.66666666666663</v>
      </c>
      <c r="P122" s="118">
        <f>'Roads &amp; Mowing (2)'!F34</f>
        <v>541.66666666666663</v>
      </c>
      <c r="Q122" s="118">
        <f>'Roads &amp; Mowing (2)'!G34</f>
        <v>541.66666666666663</v>
      </c>
      <c r="R122" s="118">
        <f>'Roads &amp; Mowing (2)'!H34</f>
        <v>541.66666666666663</v>
      </c>
      <c r="S122" s="118">
        <f>'Roads &amp; Mowing (2)'!I34</f>
        <v>541.66666666666663</v>
      </c>
      <c r="T122" s="118">
        <f>'Roads &amp; Mowing (2)'!J34</f>
        <v>541.66666666666663</v>
      </c>
      <c r="U122" s="118">
        <f>'Roads &amp; Mowing (2)'!K34</f>
        <v>541.66666666666663</v>
      </c>
      <c r="V122" s="118">
        <f>'Roads &amp; Mowing (2)'!L34</f>
        <v>541.66666666666663</v>
      </c>
      <c r="W122" s="118">
        <f>'Roads &amp; Mowing (2)'!M34</f>
        <v>541.66666666666663</v>
      </c>
      <c r="X122" s="118">
        <f>'Roads &amp; Mowing (2)'!N34</f>
        <v>541.66666666666663</v>
      </c>
      <c r="Y122" s="130">
        <f t="shared" si="9"/>
        <v>6500.0000000000009</v>
      </c>
      <c r="Z122" s="113">
        <f t="shared" si="16"/>
        <v>0</v>
      </c>
    </row>
    <row r="123" spans="1:26" x14ac:dyDescent="0.25">
      <c r="A123" s="107"/>
      <c r="B123" s="107"/>
      <c r="C123" s="107"/>
      <c r="D123" s="107"/>
      <c r="E123" s="107"/>
      <c r="F123" s="132" t="s">
        <v>90</v>
      </c>
      <c r="G123" s="107"/>
      <c r="H123" s="118">
        <f>'Roads &amp; Mowing (2)'!M9</f>
        <v>0</v>
      </c>
      <c r="I123" s="118">
        <f>'Roads &amp; Mowing (2)'!N9</f>
        <v>0</v>
      </c>
      <c r="J123" s="118">
        <f>'Roads &amp; Mowing (2)'!O9</f>
        <v>0</v>
      </c>
      <c r="K123" s="118">
        <f>'Roads &amp; Mowing (2)'!P9</f>
        <v>0</v>
      </c>
      <c r="L123" s="118">
        <f>'Roads &amp; Mowing (2)'!Q9</f>
        <v>0</v>
      </c>
      <c r="M123" s="118">
        <f>'Roads &amp; Mowing (2)'!C35</f>
        <v>0</v>
      </c>
      <c r="N123" s="118">
        <f>'Roads &amp; Mowing (2)'!D35</f>
        <v>0</v>
      </c>
      <c r="O123" s="118">
        <f>'Roads &amp; Mowing (2)'!E35</f>
        <v>0</v>
      </c>
      <c r="P123" s="118">
        <f>'Roads &amp; Mowing (2)'!F35</f>
        <v>0</v>
      </c>
      <c r="Q123" s="118">
        <f>'Roads &amp; Mowing (2)'!G35</f>
        <v>0</v>
      </c>
      <c r="R123" s="118">
        <f>'Roads &amp; Mowing (2)'!H35</f>
        <v>0</v>
      </c>
      <c r="S123" s="118">
        <f>'Roads &amp; Mowing (2)'!I35</f>
        <v>0</v>
      </c>
      <c r="T123" s="118">
        <f>'Roads &amp; Mowing (2)'!J35</f>
        <v>0</v>
      </c>
      <c r="U123" s="118">
        <f>'Roads &amp; Mowing (2)'!K35</f>
        <v>0</v>
      </c>
      <c r="V123" s="118">
        <f>'Roads &amp; Mowing (2)'!L35</f>
        <v>0</v>
      </c>
      <c r="W123" s="118">
        <f>'Roads &amp; Mowing (2)'!M35</f>
        <v>0</v>
      </c>
      <c r="X123" s="118">
        <f>'Roads &amp; Mowing (2)'!N35</f>
        <v>0</v>
      </c>
      <c r="Y123" s="130">
        <f t="shared" si="9"/>
        <v>0</v>
      </c>
      <c r="Z123" s="113">
        <f t="shared" si="16"/>
        <v>0</v>
      </c>
    </row>
    <row r="124" spans="1:26" x14ac:dyDescent="0.25">
      <c r="A124" s="107"/>
      <c r="B124" s="107"/>
      <c r="C124" s="107"/>
      <c r="D124" s="107"/>
      <c r="E124" s="107"/>
      <c r="F124" s="132" t="s">
        <v>91</v>
      </c>
      <c r="G124" s="107"/>
      <c r="H124" s="118">
        <f>'Roads &amp; Mowing (2)'!M10</f>
        <v>4500</v>
      </c>
      <c r="I124" s="118">
        <f>'Roads &amp; Mowing (2)'!N10</f>
        <v>4567.5</v>
      </c>
      <c r="J124" s="118">
        <f>'Roads &amp; Mowing (2)'!O10</f>
        <v>4636.0124999999998</v>
      </c>
      <c r="K124" s="118">
        <f>'Roads &amp; Mowing (2)'!P10</f>
        <v>4705.5526874999996</v>
      </c>
      <c r="L124" s="118">
        <f>'Roads &amp; Mowing (2)'!Q10</f>
        <v>4776.1359778124988</v>
      </c>
      <c r="M124" s="118">
        <f>'Roads &amp; Mowing (2)'!C36</f>
        <v>375</v>
      </c>
      <c r="N124" s="118">
        <f>'Roads &amp; Mowing (2)'!D36</f>
        <v>375</v>
      </c>
      <c r="O124" s="118">
        <f>'Roads &amp; Mowing (2)'!E36</f>
        <v>375</v>
      </c>
      <c r="P124" s="118">
        <f>'Roads &amp; Mowing (2)'!F36</f>
        <v>375</v>
      </c>
      <c r="Q124" s="118">
        <f>'Roads &amp; Mowing (2)'!G36</f>
        <v>375</v>
      </c>
      <c r="R124" s="118">
        <f>'Roads &amp; Mowing (2)'!H36</f>
        <v>375</v>
      </c>
      <c r="S124" s="118">
        <f>'Roads &amp; Mowing (2)'!I36</f>
        <v>375</v>
      </c>
      <c r="T124" s="118">
        <f>'Roads &amp; Mowing (2)'!J36</f>
        <v>375</v>
      </c>
      <c r="U124" s="118">
        <f>'Roads &amp; Mowing (2)'!K36</f>
        <v>375</v>
      </c>
      <c r="V124" s="118">
        <f>'Roads &amp; Mowing (2)'!L36</f>
        <v>375</v>
      </c>
      <c r="W124" s="118">
        <f>'Roads &amp; Mowing (2)'!M36</f>
        <v>375</v>
      </c>
      <c r="X124" s="118">
        <f>'Roads &amp; Mowing (2)'!N36</f>
        <v>375</v>
      </c>
      <c r="Y124" s="130">
        <f t="shared" si="9"/>
        <v>4500</v>
      </c>
      <c r="Z124" s="113">
        <f t="shared" si="16"/>
        <v>0</v>
      </c>
    </row>
    <row r="125" spans="1:26" x14ac:dyDescent="0.25">
      <c r="A125" s="107"/>
      <c r="B125" s="107"/>
      <c r="C125" s="107"/>
      <c r="D125" s="107"/>
      <c r="E125" s="107"/>
      <c r="F125" s="132" t="s">
        <v>92</v>
      </c>
      <c r="G125" s="107"/>
      <c r="H125" s="118">
        <f>'Roads &amp; Mowing (2)'!M11</f>
        <v>1500</v>
      </c>
      <c r="I125" s="118">
        <f>'Roads &amp; Mowing (2)'!N11</f>
        <v>1522.4999999999998</v>
      </c>
      <c r="J125" s="118">
        <f>'Roads &amp; Mowing (2)'!O11</f>
        <v>1545.3374999999996</v>
      </c>
      <c r="K125" s="118">
        <f>'Roads &amp; Mowing (2)'!P11</f>
        <v>1568.5175624999995</v>
      </c>
      <c r="L125" s="118">
        <f>'Roads &amp; Mowing (2)'!Q11</f>
        <v>1592.0453259374992</v>
      </c>
      <c r="M125" s="118">
        <f>'Roads &amp; Mowing (2)'!C37</f>
        <v>125</v>
      </c>
      <c r="N125" s="118">
        <f>'Roads &amp; Mowing (2)'!D37</f>
        <v>125</v>
      </c>
      <c r="O125" s="118">
        <f>'Roads &amp; Mowing (2)'!E37</f>
        <v>125</v>
      </c>
      <c r="P125" s="118">
        <f>'Roads &amp; Mowing (2)'!F37</f>
        <v>125</v>
      </c>
      <c r="Q125" s="118">
        <f>'Roads &amp; Mowing (2)'!G37</f>
        <v>125</v>
      </c>
      <c r="R125" s="118">
        <f>'Roads &amp; Mowing (2)'!H37</f>
        <v>125</v>
      </c>
      <c r="S125" s="118">
        <f>'Roads &amp; Mowing (2)'!I37</f>
        <v>125</v>
      </c>
      <c r="T125" s="118">
        <f>'Roads &amp; Mowing (2)'!J37</f>
        <v>125</v>
      </c>
      <c r="U125" s="118">
        <f>'Roads &amp; Mowing (2)'!K37</f>
        <v>125</v>
      </c>
      <c r="V125" s="118">
        <f>'Roads &amp; Mowing (2)'!L37</f>
        <v>125</v>
      </c>
      <c r="W125" s="118">
        <f>'Roads &amp; Mowing (2)'!M37</f>
        <v>125</v>
      </c>
      <c r="X125" s="118">
        <f>'Roads &amp; Mowing (2)'!N37</f>
        <v>125</v>
      </c>
      <c r="Y125" s="130">
        <f t="shared" si="9"/>
        <v>1500</v>
      </c>
      <c r="Z125" s="113">
        <f t="shared" si="16"/>
        <v>0</v>
      </c>
    </row>
    <row r="126" spans="1:26" x14ac:dyDescent="0.25">
      <c r="A126" s="107"/>
      <c r="B126" s="107"/>
      <c r="C126" s="107"/>
      <c r="D126" s="107"/>
      <c r="E126" s="107"/>
      <c r="F126" s="132" t="s">
        <v>93</v>
      </c>
      <c r="G126" s="107"/>
      <c r="H126" s="118">
        <f>'Roads &amp; Mowing (2)'!M12</f>
        <v>350</v>
      </c>
      <c r="I126" s="118">
        <f>'Roads &amp; Mowing (2)'!N12</f>
        <v>355.24999999999994</v>
      </c>
      <c r="J126" s="118">
        <f>'Roads &amp; Mowing (2)'!O12</f>
        <v>360.5787499999999</v>
      </c>
      <c r="K126" s="118">
        <f>'Roads &amp; Mowing (2)'!P12</f>
        <v>365.98743124999987</v>
      </c>
      <c r="L126" s="118">
        <f>'Roads &amp; Mowing (2)'!Q12</f>
        <v>371.47724271874984</v>
      </c>
      <c r="M126" s="118">
        <f>'Roads &amp; Mowing (2)'!C38</f>
        <v>29.166666666666668</v>
      </c>
      <c r="N126" s="118">
        <f>'Roads &amp; Mowing (2)'!D38</f>
        <v>29.166666666666668</v>
      </c>
      <c r="O126" s="118">
        <f>'Roads &amp; Mowing (2)'!E38</f>
        <v>29.166666666666668</v>
      </c>
      <c r="P126" s="118">
        <f>'Roads &amp; Mowing (2)'!F38</f>
        <v>29.166666666666668</v>
      </c>
      <c r="Q126" s="118">
        <f>'Roads &amp; Mowing (2)'!G38</f>
        <v>29.166666666666668</v>
      </c>
      <c r="R126" s="118">
        <f>'Roads &amp; Mowing (2)'!H38</f>
        <v>29.166666666666668</v>
      </c>
      <c r="S126" s="118">
        <f>'Roads &amp; Mowing (2)'!I38</f>
        <v>29.166666666666668</v>
      </c>
      <c r="T126" s="118">
        <f>'Roads &amp; Mowing (2)'!J38</f>
        <v>29.166666666666668</v>
      </c>
      <c r="U126" s="118">
        <f>'Roads &amp; Mowing (2)'!K38</f>
        <v>29.166666666666668</v>
      </c>
      <c r="V126" s="118">
        <f>'Roads &amp; Mowing (2)'!L38</f>
        <v>29.166666666666668</v>
      </c>
      <c r="W126" s="118">
        <f>'Roads &amp; Mowing (2)'!M38</f>
        <v>29.166666666666668</v>
      </c>
      <c r="X126" s="118">
        <f>'Roads &amp; Mowing (2)'!N38</f>
        <v>29.166666666666668</v>
      </c>
      <c r="Y126" s="130">
        <f t="shared" si="9"/>
        <v>350.00000000000006</v>
      </c>
      <c r="Z126" s="113">
        <f t="shared" si="16"/>
        <v>0</v>
      </c>
    </row>
    <row r="127" spans="1:26" x14ac:dyDescent="0.25">
      <c r="A127" s="107"/>
      <c r="B127" s="107"/>
      <c r="C127" s="107"/>
      <c r="D127" s="107"/>
      <c r="E127" s="107"/>
      <c r="F127" s="132" t="s">
        <v>94</v>
      </c>
      <c r="G127" s="107"/>
      <c r="H127" s="118">
        <f>'Roads &amp; Mowing (2)'!M13</f>
        <v>0</v>
      </c>
      <c r="I127" s="118">
        <f>'Roads &amp; Mowing (2)'!N13</f>
        <v>0</v>
      </c>
      <c r="J127" s="118">
        <f>'Roads &amp; Mowing (2)'!O13</f>
        <v>0</v>
      </c>
      <c r="K127" s="118">
        <f>'Roads &amp; Mowing (2)'!P13</f>
        <v>0</v>
      </c>
      <c r="L127" s="118">
        <f>'Roads &amp; Mowing (2)'!Q13</f>
        <v>0</v>
      </c>
      <c r="M127" s="118">
        <f>'Roads &amp; Mowing (2)'!C39</f>
        <v>0</v>
      </c>
      <c r="N127" s="118">
        <f>'Roads &amp; Mowing (2)'!D39</f>
        <v>0</v>
      </c>
      <c r="O127" s="118">
        <f>'Roads &amp; Mowing (2)'!E39</f>
        <v>0</v>
      </c>
      <c r="P127" s="118">
        <f>'Roads &amp; Mowing (2)'!F39</f>
        <v>0</v>
      </c>
      <c r="Q127" s="118">
        <f>'Roads &amp; Mowing (2)'!G39</f>
        <v>0</v>
      </c>
      <c r="R127" s="118">
        <f>'Roads &amp; Mowing (2)'!H39</f>
        <v>0</v>
      </c>
      <c r="S127" s="118">
        <f>'Roads &amp; Mowing (2)'!I39</f>
        <v>0</v>
      </c>
      <c r="T127" s="118">
        <f>'Roads &amp; Mowing (2)'!J39</f>
        <v>0</v>
      </c>
      <c r="U127" s="118">
        <f>'Roads &amp; Mowing (2)'!K39</f>
        <v>0</v>
      </c>
      <c r="V127" s="118">
        <f>'Roads &amp; Mowing (2)'!L39</f>
        <v>0</v>
      </c>
      <c r="W127" s="118">
        <f>'Roads &amp; Mowing (2)'!M39</f>
        <v>0</v>
      </c>
      <c r="X127" s="118">
        <f>'Roads &amp; Mowing (2)'!N39</f>
        <v>0</v>
      </c>
      <c r="Y127" s="130">
        <f t="shared" si="9"/>
        <v>0</v>
      </c>
      <c r="Z127" s="113">
        <f t="shared" si="16"/>
        <v>0</v>
      </c>
    </row>
    <row r="128" spans="1:26" x14ac:dyDescent="0.25">
      <c r="A128" s="107"/>
      <c r="B128" s="107"/>
      <c r="C128" s="107"/>
      <c r="D128" s="107"/>
      <c r="E128" s="107"/>
      <c r="F128" s="132" t="s">
        <v>95</v>
      </c>
      <c r="G128" s="107"/>
      <c r="H128" s="118">
        <f>'Roads &amp; Mowing (2)'!M14</f>
        <v>1200</v>
      </c>
      <c r="I128" s="118">
        <f>'Roads &amp; Mowing (2)'!N14</f>
        <v>1217.9999999999998</v>
      </c>
      <c r="J128" s="118">
        <f>'Roads &amp; Mowing (2)'!O14</f>
        <v>1236.2699999999998</v>
      </c>
      <c r="K128" s="118">
        <f>'Roads &amp; Mowing (2)'!P14</f>
        <v>1254.8140499999997</v>
      </c>
      <c r="L128" s="118">
        <f>'Roads &amp; Mowing (2)'!Q14</f>
        <v>1273.6362607499996</v>
      </c>
      <c r="M128" s="118">
        <f>'Roads &amp; Mowing (2)'!C40</f>
        <v>100</v>
      </c>
      <c r="N128" s="118">
        <f>'Roads &amp; Mowing (2)'!D40</f>
        <v>100</v>
      </c>
      <c r="O128" s="118">
        <f>'Roads &amp; Mowing (2)'!E40</f>
        <v>100</v>
      </c>
      <c r="P128" s="118">
        <f>'Roads &amp; Mowing (2)'!F40</f>
        <v>100</v>
      </c>
      <c r="Q128" s="118">
        <f>'Roads &amp; Mowing (2)'!G40</f>
        <v>100</v>
      </c>
      <c r="R128" s="118">
        <f>'Roads &amp; Mowing (2)'!H40</f>
        <v>100</v>
      </c>
      <c r="S128" s="118">
        <f>'Roads &amp; Mowing (2)'!I40</f>
        <v>100</v>
      </c>
      <c r="T128" s="118">
        <f>'Roads &amp; Mowing (2)'!J40</f>
        <v>100</v>
      </c>
      <c r="U128" s="118">
        <f>'Roads &amp; Mowing (2)'!K40</f>
        <v>100</v>
      </c>
      <c r="V128" s="118">
        <f>'Roads &amp; Mowing (2)'!L40</f>
        <v>100</v>
      </c>
      <c r="W128" s="118">
        <f>'Roads &amp; Mowing (2)'!M40</f>
        <v>100</v>
      </c>
      <c r="X128" s="118">
        <f>'Roads &amp; Mowing (2)'!N40</f>
        <v>100</v>
      </c>
      <c r="Y128" s="130">
        <f t="shared" si="9"/>
        <v>1200</v>
      </c>
      <c r="Z128" s="113">
        <f t="shared" si="16"/>
        <v>0</v>
      </c>
    </row>
    <row r="129" spans="1:26" x14ac:dyDescent="0.25">
      <c r="A129" s="107"/>
      <c r="B129" s="107"/>
      <c r="C129" s="107"/>
      <c r="D129" s="107"/>
      <c r="E129" s="107"/>
      <c r="F129" s="132" t="s">
        <v>96</v>
      </c>
      <c r="G129" s="107"/>
      <c r="H129" s="118">
        <f>'Roads &amp; Mowing (2)'!M15</f>
        <v>325</v>
      </c>
      <c r="I129" s="118">
        <f>'Roads &amp; Mowing (2)'!N15</f>
        <v>329.87499999999994</v>
      </c>
      <c r="J129" s="118">
        <f>'Roads &amp; Mowing (2)'!O15</f>
        <v>334.82312499999989</v>
      </c>
      <c r="K129" s="118">
        <f>'Roads &amp; Mowing (2)'!P15</f>
        <v>339.84547187499987</v>
      </c>
      <c r="L129" s="118">
        <f>'Roads &amp; Mowing (2)'!Q15</f>
        <v>344.94315395312486</v>
      </c>
      <c r="M129" s="118">
        <f>'Roads &amp; Mowing (2)'!C41</f>
        <v>27.083333333333332</v>
      </c>
      <c r="N129" s="118">
        <f>'Roads &amp; Mowing (2)'!D41</f>
        <v>27.083333333333332</v>
      </c>
      <c r="O129" s="118">
        <f>'Roads &amp; Mowing (2)'!E41</f>
        <v>27.083333333333332</v>
      </c>
      <c r="P129" s="118">
        <f>'Roads &amp; Mowing (2)'!F41</f>
        <v>27.083333333333332</v>
      </c>
      <c r="Q129" s="118">
        <f>'Roads &amp; Mowing (2)'!G41</f>
        <v>27.083333333333332</v>
      </c>
      <c r="R129" s="118">
        <f>'Roads &amp; Mowing (2)'!H41</f>
        <v>27.083333333333332</v>
      </c>
      <c r="S129" s="118">
        <f>'Roads &amp; Mowing (2)'!I41</f>
        <v>27.083333333333332</v>
      </c>
      <c r="T129" s="118">
        <f>'Roads &amp; Mowing (2)'!J41</f>
        <v>27.083333333333332</v>
      </c>
      <c r="U129" s="118">
        <f>'Roads &amp; Mowing (2)'!K41</f>
        <v>27.083333333333332</v>
      </c>
      <c r="V129" s="118">
        <f>'Roads &amp; Mowing (2)'!L41</f>
        <v>27.083333333333332</v>
      </c>
      <c r="W129" s="118">
        <f>'Roads &amp; Mowing (2)'!M41</f>
        <v>27.083333333333332</v>
      </c>
      <c r="X129" s="118">
        <f>'Roads &amp; Mowing (2)'!N41</f>
        <v>27.083333333333332</v>
      </c>
      <c r="Y129" s="130">
        <f t="shared" si="9"/>
        <v>325</v>
      </c>
      <c r="Z129" s="113">
        <f t="shared" si="16"/>
        <v>0</v>
      </c>
    </row>
    <row r="130" spans="1:26" x14ac:dyDescent="0.25">
      <c r="A130" s="107"/>
      <c r="B130" s="107"/>
      <c r="C130" s="107"/>
      <c r="D130" s="107"/>
      <c r="E130" s="107"/>
      <c r="F130" s="132" t="s">
        <v>97</v>
      </c>
      <c r="G130" s="107"/>
      <c r="H130" s="118">
        <f>'Roads &amp; Mowing (2)'!M16</f>
        <v>5500</v>
      </c>
      <c r="I130" s="118">
        <f>'Roads &amp; Mowing (2)'!N16</f>
        <v>0</v>
      </c>
      <c r="J130" s="118">
        <f>'Roads &amp; Mowing (2)'!O16</f>
        <v>0</v>
      </c>
      <c r="K130" s="118">
        <f>'Roads &amp; Mowing (2)'!P16</f>
        <v>0</v>
      </c>
      <c r="L130" s="118">
        <f>'Roads &amp; Mowing (2)'!Q16</f>
        <v>0</v>
      </c>
      <c r="M130" s="118">
        <f>'Roads &amp; Mowing (2)'!C42</f>
        <v>0</v>
      </c>
      <c r="N130" s="118">
        <f>'Roads &amp; Mowing (2)'!D42</f>
        <v>0</v>
      </c>
      <c r="O130" s="118">
        <f>'Roads &amp; Mowing (2)'!E42</f>
        <v>0</v>
      </c>
      <c r="P130" s="118">
        <f>'Roads &amp; Mowing (2)'!F42</f>
        <v>0</v>
      </c>
      <c r="Q130" s="118">
        <f>'Roads &amp; Mowing (2)'!G42</f>
        <v>0</v>
      </c>
      <c r="R130" s="118">
        <f>'Roads &amp; Mowing (2)'!H42</f>
        <v>0</v>
      </c>
      <c r="S130" s="118">
        <f>'Roads &amp; Mowing (2)'!I42</f>
        <v>0</v>
      </c>
      <c r="T130" s="118">
        <f>'Roads &amp; Mowing (2)'!J42</f>
        <v>5500</v>
      </c>
      <c r="U130" s="118">
        <f>'Roads &amp; Mowing (2)'!K42</f>
        <v>0</v>
      </c>
      <c r="V130" s="118">
        <f>'Roads &amp; Mowing (2)'!L42</f>
        <v>0</v>
      </c>
      <c r="W130" s="118">
        <f>'Roads &amp; Mowing (2)'!M42</f>
        <v>0</v>
      </c>
      <c r="X130" s="118">
        <f>'Roads &amp; Mowing (2)'!N42</f>
        <v>0</v>
      </c>
      <c r="Y130" s="130">
        <f t="shared" si="9"/>
        <v>5500</v>
      </c>
      <c r="Z130" s="113">
        <f t="shared" si="16"/>
        <v>0</v>
      </c>
    </row>
    <row r="131" spans="1:26" x14ac:dyDescent="0.25">
      <c r="A131" s="107"/>
      <c r="B131" s="107"/>
      <c r="C131" s="107"/>
      <c r="D131" s="107"/>
      <c r="E131" s="107"/>
      <c r="F131" s="132" t="s">
        <v>98</v>
      </c>
      <c r="G131" s="107"/>
      <c r="H131" s="118">
        <f>'Roads &amp; Mowing (2)'!M17</f>
        <v>6000</v>
      </c>
      <c r="I131" s="118">
        <f>'Roads &amp; Mowing (2)'!N17</f>
        <v>6089.9999999999991</v>
      </c>
      <c r="J131" s="118">
        <f>'Roads &amp; Mowing (2)'!O17</f>
        <v>6181.3499999999985</v>
      </c>
      <c r="K131" s="118">
        <f>'Roads &amp; Mowing (2)'!P17</f>
        <v>6274.0702499999979</v>
      </c>
      <c r="L131" s="118">
        <f>'Roads &amp; Mowing (2)'!Q17</f>
        <v>6368.1813037499969</v>
      </c>
      <c r="M131" s="118">
        <f>'Roads &amp; Mowing (2)'!C43</f>
        <v>0</v>
      </c>
      <c r="N131" s="118">
        <f>'Roads &amp; Mowing (2)'!D43</f>
        <v>0</v>
      </c>
      <c r="O131" s="118">
        <f>'Roads &amp; Mowing (2)'!E43</f>
        <v>0</v>
      </c>
      <c r="P131" s="118">
        <f>'Roads &amp; Mowing (2)'!F43</f>
        <v>0</v>
      </c>
      <c r="Q131" s="118">
        <f>'Roads &amp; Mowing (2)'!G43</f>
        <v>0</v>
      </c>
      <c r="R131" s="118">
        <f>'Roads &amp; Mowing (2)'!H43</f>
        <v>0</v>
      </c>
      <c r="S131" s="118">
        <f>'Roads &amp; Mowing (2)'!I43</f>
        <v>0</v>
      </c>
      <c r="T131" s="118">
        <f>'Roads &amp; Mowing (2)'!J43</f>
        <v>0</v>
      </c>
      <c r="U131" s="118">
        <f>'Roads &amp; Mowing (2)'!K43</f>
        <v>0</v>
      </c>
      <c r="V131" s="118">
        <f>'Roads &amp; Mowing (2)'!L43</f>
        <v>0</v>
      </c>
      <c r="W131" s="118">
        <f>'Roads &amp; Mowing (2)'!M43</f>
        <v>0</v>
      </c>
      <c r="X131" s="118">
        <f>'Roads &amp; Mowing (2)'!N43</f>
        <v>6000</v>
      </c>
      <c r="Y131" s="130">
        <f t="shared" si="9"/>
        <v>6000</v>
      </c>
      <c r="Z131" s="113">
        <f t="shared" si="16"/>
        <v>0</v>
      </c>
    </row>
    <row r="132" spans="1:26" x14ac:dyDescent="0.25">
      <c r="A132" s="107"/>
      <c r="B132" s="107"/>
      <c r="C132" s="107"/>
      <c r="D132" s="107"/>
      <c r="E132" s="107"/>
      <c r="F132" s="132" t="s">
        <v>99</v>
      </c>
      <c r="G132" s="107"/>
      <c r="H132" s="118">
        <f>'Roads &amp; Mowing (2)'!M18</f>
        <v>1600</v>
      </c>
      <c r="I132" s="118">
        <f>'Roads &amp; Mowing (2)'!N18</f>
        <v>1623.9999999999998</v>
      </c>
      <c r="J132" s="118">
        <f>'Roads &amp; Mowing (2)'!O18</f>
        <v>1648.3599999999997</v>
      </c>
      <c r="K132" s="118">
        <f>'Roads &amp; Mowing (2)'!P18</f>
        <v>1673.0853999999995</v>
      </c>
      <c r="L132" s="118">
        <f>'Roads &amp; Mowing (2)'!Q18</f>
        <v>1698.1816809999993</v>
      </c>
      <c r="M132" s="118">
        <f>'Roads &amp; Mowing (2)'!C44</f>
        <v>133.33333333333334</v>
      </c>
      <c r="N132" s="118">
        <f>'Roads &amp; Mowing (2)'!D44</f>
        <v>133.33333333333334</v>
      </c>
      <c r="O132" s="118">
        <f>'Roads &amp; Mowing (2)'!E44</f>
        <v>133.33333333333334</v>
      </c>
      <c r="P132" s="118">
        <f>'Roads &amp; Mowing (2)'!F44</f>
        <v>133.33333333333334</v>
      </c>
      <c r="Q132" s="118">
        <f>'Roads &amp; Mowing (2)'!G44</f>
        <v>133.33333333333334</v>
      </c>
      <c r="R132" s="118">
        <f>'Roads &amp; Mowing (2)'!H44</f>
        <v>133.33333333333334</v>
      </c>
      <c r="S132" s="118">
        <f>'Roads &amp; Mowing (2)'!I44</f>
        <v>133.33333333333334</v>
      </c>
      <c r="T132" s="118">
        <f>'Roads &amp; Mowing (2)'!J44</f>
        <v>133.33333333333334</v>
      </c>
      <c r="U132" s="118">
        <f>'Roads &amp; Mowing (2)'!K44</f>
        <v>133.33333333333334</v>
      </c>
      <c r="V132" s="118">
        <f>'Roads &amp; Mowing (2)'!L44</f>
        <v>133.33333333333334</v>
      </c>
      <c r="W132" s="118">
        <f>'Roads &amp; Mowing (2)'!M44</f>
        <v>133.33333333333334</v>
      </c>
      <c r="X132" s="118">
        <f>'Roads &amp; Mowing (2)'!N44</f>
        <v>133.33333333333334</v>
      </c>
      <c r="Y132" s="130">
        <f t="shared" si="9"/>
        <v>1599.9999999999998</v>
      </c>
      <c r="Z132" s="113">
        <f t="shared" si="16"/>
        <v>0</v>
      </c>
    </row>
    <row r="133" spans="1:26" x14ac:dyDescent="0.25">
      <c r="A133" s="107"/>
      <c r="B133" s="107"/>
      <c r="C133" s="107"/>
      <c r="D133" s="107"/>
      <c r="E133" s="107"/>
      <c r="F133" s="132" t="s">
        <v>100</v>
      </c>
      <c r="G133" s="107"/>
      <c r="H133" s="118">
        <f>'Roads &amp; Mowing (2)'!M19</f>
        <v>0</v>
      </c>
      <c r="I133" s="118">
        <f>'Roads &amp; Mowing (2)'!N19</f>
        <v>0</v>
      </c>
      <c r="J133" s="118">
        <f>'Roads &amp; Mowing (2)'!O19</f>
        <v>0</v>
      </c>
      <c r="K133" s="118">
        <f>'Roads &amp; Mowing (2)'!P19</f>
        <v>0</v>
      </c>
      <c r="L133" s="118">
        <f>'Roads &amp; Mowing (2)'!Q19</f>
        <v>0</v>
      </c>
      <c r="M133" s="118">
        <f>'Roads &amp; Mowing (2)'!C45</f>
        <v>0</v>
      </c>
      <c r="N133" s="118">
        <f>'Roads &amp; Mowing (2)'!D45</f>
        <v>0</v>
      </c>
      <c r="O133" s="118">
        <f>'Roads &amp; Mowing (2)'!E45</f>
        <v>0</v>
      </c>
      <c r="P133" s="118">
        <f>'Roads &amp; Mowing (2)'!F45</f>
        <v>0</v>
      </c>
      <c r="Q133" s="118">
        <f>'Roads &amp; Mowing (2)'!G45</f>
        <v>0</v>
      </c>
      <c r="R133" s="118">
        <f>'Roads &amp; Mowing (2)'!H45</f>
        <v>0</v>
      </c>
      <c r="S133" s="118">
        <f>'Roads &amp; Mowing (2)'!I45</f>
        <v>0</v>
      </c>
      <c r="T133" s="118">
        <f>'Roads &amp; Mowing (2)'!J45</f>
        <v>0</v>
      </c>
      <c r="U133" s="118">
        <f>'Roads &amp; Mowing (2)'!K45</f>
        <v>0</v>
      </c>
      <c r="V133" s="118">
        <f>'Roads &amp; Mowing (2)'!L45</f>
        <v>0</v>
      </c>
      <c r="W133" s="118">
        <f>'Roads &amp; Mowing (2)'!M45</f>
        <v>0</v>
      </c>
      <c r="X133" s="118">
        <f>'Roads &amp; Mowing (2)'!N45</f>
        <v>0</v>
      </c>
      <c r="Y133" s="130">
        <f t="shared" si="9"/>
        <v>0</v>
      </c>
      <c r="Z133" s="113">
        <f t="shared" si="16"/>
        <v>0</v>
      </c>
    </row>
    <row r="134" spans="1:26" x14ac:dyDescent="0.25">
      <c r="A134" s="107"/>
      <c r="B134" s="107"/>
      <c r="C134" s="107"/>
      <c r="D134" s="107"/>
      <c r="E134" s="107"/>
      <c r="F134" s="132" t="s">
        <v>101</v>
      </c>
      <c r="G134" s="107"/>
      <c r="H134" s="118">
        <f>'Roads &amp; Mowing (2)'!M20</f>
        <v>4000</v>
      </c>
      <c r="I134" s="118">
        <f>'Roads &amp; Mowing (2)'!N20</f>
        <v>4059.9999999999995</v>
      </c>
      <c r="J134" s="118">
        <f>'Roads &amp; Mowing (2)'!O20</f>
        <v>4120.8999999999987</v>
      </c>
      <c r="K134" s="118">
        <f>'Roads &amp; Mowing (2)'!P20</f>
        <v>4182.713499999998</v>
      </c>
      <c r="L134" s="118">
        <f>'Roads &amp; Mowing (2)'!Q20</f>
        <v>4245.4542024999973</v>
      </c>
      <c r="M134" s="118">
        <f>'Roads &amp; Mowing (2)'!C46</f>
        <v>333.33333333333331</v>
      </c>
      <c r="N134" s="118">
        <f>'Roads &amp; Mowing (2)'!D46</f>
        <v>333.33333333333331</v>
      </c>
      <c r="O134" s="118">
        <f>'Roads &amp; Mowing (2)'!E46</f>
        <v>333.33333333333331</v>
      </c>
      <c r="P134" s="118">
        <f>'Roads &amp; Mowing (2)'!F46</f>
        <v>333.33333333333331</v>
      </c>
      <c r="Q134" s="118">
        <f>'Roads &amp; Mowing (2)'!G46</f>
        <v>333.33333333333331</v>
      </c>
      <c r="R134" s="118">
        <f>'Roads &amp; Mowing (2)'!H46</f>
        <v>333.33333333333331</v>
      </c>
      <c r="S134" s="118">
        <f>'Roads &amp; Mowing (2)'!I46</f>
        <v>333.33333333333331</v>
      </c>
      <c r="T134" s="118">
        <f>'Roads &amp; Mowing (2)'!J46</f>
        <v>333.33333333333331</v>
      </c>
      <c r="U134" s="118">
        <f>'Roads &amp; Mowing (2)'!K46</f>
        <v>333.33333333333331</v>
      </c>
      <c r="V134" s="118">
        <f>'Roads &amp; Mowing (2)'!L46</f>
        <v>333.33333333333331</v>
      </c>
      <c r="W134" s="118">
        <f>'Roads &amp; Mowing (2)'!M46</f>
        <v>333.33333333333331</v>
      </c>
      <c r="X134" s="118">
        <f>'Roads &amp; Mowing (2)'!N46</f>
        <v>333.33333333333331</v>
      </c>
      <c r="Y134" s="130">
        <f t="shared" si="9"/>
        <v>4000.0000000000005</v>
      </c>
      <c r="Z134" s="113">
        <f t="shared" si="16"/>
        <v>0</v>
      </c>
    </row>
    <row r="135" spans="1:26" x14ac:dyDescent="0.25">
      <c r="A135" s="107"/>
      <c r="B135" s="107"/>
      <c r="C135" s="107"/>
      <c r="D135" s="107"/>
      <c r="E135" s="107"/>
      <c r="F135" s="132" t="s">
        <v>102</v>
      </c>
      <c r="G135" s="107"/>
      <c r="H135" s="118">
        <f>'Roads &amp; Mowing (2)'!M21</f>
        <v>0</v>
      </c>
      <c r="I135" s="118">
        <f>'Roads &amp; Mowing (2)'!N21</f>
        <v>0</v>
      </c>
      <c r="J135" s="118">
        <f>'Roads &amp; Mowing (2)'!O21</f>
        <v>0</v>
      </c>
      <c r="K135" s="118">
        <f>'Roads &amp; Mowing (2)'!P21</f>
        <v>0</v>
      </c>
      <c r="L135" s="118">
        <f>'Roads &amp; Mowing (2)'!Q21</f>
        <v>0</v>
      </c>
      <c r="M135" s="118">
        <f>'Roads &amp; Mowing (2)'!C47</f>
        <v>0</v>
      </c>
      <c r="N135" s="118">
        <f>'Roads &amp; Mowing (2)'!D47</f>
        <v>0</v>
      </c>
      <c r="O135" s="118">
        <f>'Roads &amp; Mowing (2)'!E47</f>
        <v>0</v>
      </c>
      <c r="P135" s="118">
        <f>'Roads &amp; Mowing (2)'!F47</f>
        <v>0</v>
      </c>
      <c r="Q135" s="118">
        <f>'Roads &amp; Mowing (2)'!G47</f>
        <v>0</v>
      </c>
      <c r="R135" s="118">
        <f>'Roads &amp; Mowing (2)'!H47</f>
        <v>0</v>
      </c>
      <c r="S135" s="118">
        <f>'Roads &amp; Mowing (2)'!I47</f>
        <v>0</v>
      </c>
      <c r="T135" s="118">
        <f>'Roads &amp; Mowing (2)'!J47</f>
        <v>0</v>
      </c>
      <c r="U135" s="118">
        <f>'Roads &amp; Mowing (2)'!K47</f>
        <v>0</v>
      </c>
      <c r="V135" s="118">
        <f>'Roads &amp; Mowing (2)'!L47</f>
        <v>0</v>
      </c>
      <c r="W135" s="118">
        <f>'Roads &amp; Mowing (2)'!M47</f>
        <v>0</v>
      </c>
      <c r="X135" s="118">
        <f>'Roads &amp; Mowing (2)'!N47</f>
        <v>0</v>
      </c>
      <c r="Y135" s="130">
        <f t="shared" ref="Y135:Y154" si="17">SUM(M135:X135)</f>
        <v>0</v>
      </c>
      <c r="Z135" s="113">
        <f t="shared" si="16"/>
        <v>0</v>
      </c>
    </row>
    <row r="136" spans="1:26" x14ac:dyDescent="0.25">
      <c r="A136" s="107"/>
      <c r="B136" s="107"/>
      <c r="C136" s="107"/>
      <c r="D136" s="107"/>
      <c r="E136" s="107"/>
      <c r="F136" s="132" t="s">
        <v>103</v>
      </c>
      <c r="G136" s="107"/>
      <c r="H136" s="118">
        <f>'Roads &amp; Mowing (2)'!M22</f>
        <v>2210</v>
      </c>
      <c r="I136" s="118">
        <f>'Roads &amp; Mowing (2)'!N22</f>
        <v>2243.1499999999996</v>
      </c>
      <c r="J136" s="118">
        <f>'Roads &amp; Mowing (2)'!O22</f>
        <v>2276.7972499999996</v>
      </c>
      <c r="K136" s="118">
        <f>'Roads &amp; Mowing (2)'!P22</f>
        <v>2310.9492087499993</v>
      </c>
      <c r="L136" s="118">
        <f>'Roads &amp; Mowing (2)'!Q22</f>
        <v>2345.6134468812493</v>
      </c>
      <c r="M136" s="118">
        <f>'Roads &amp; Mowing (2)'!C48</f>
        <v>552.5</v>
      </c>
      <c r="N136" s="118">
        <f>'Roads &amp; Mowing (2)'!D48</f>
        <v>552.5</v>
      </c>
      <c r="O136" s="118">
        <f>'Roads &amp; Mowing (2)'!E48</f>
        <v>0</v>
      </c>
      <c r="P136" s="118">
        <f>'Roads &amp; Mowing (2)'!F48</f>
        <v>0</v>
      </c>
      <c r="Q136" s="118">
        <f>'Roads &amp; Mowing (2)'!G48</f>
        <v>0</v>
      </c>
      <c r="R136" s="118">
        <f>'Roads &amp; Mowing (2)'!H48</f>
        <v>0</v>
      </c>
      <c r="S136" s="118">
        <f>'Roads &amp; Mowing (2)'!I48</f>
        <v>0</v>
      </c>
      <c r="T136" s="118">
        <f>'Roads &amp; Mowing (2)'!J48</f>
        <v>0</v>
      </c>
      <c r="U136" s="118">
        <f>'Roads &amp; Mowing (2)'!K48</f>
        <v>0</v>
      </c>
      <c r="V136" s="118">
        <f>'Roads &amp; Mowing (2)'!L48</f>
        <v>0</v>
      </c>
      <c r="W136" s="118">
        <f>'Roads &amp; Mowing (2)'!M48</f>
        <v>552.5</v>
      </c>
      <c r="X136" s="118">
        <f>'Roads &amp; Mowing (2)'!N48</f>
        <v>552.5</v>
      </c>
      <c r="Y136" s="130">
        <f t="shared" si="17"/>
        <v>2210</v>
      </c>
      <c r="Z136" s="113">
        <f t="shared" si="16"/>
        <v>0</v>
      </c>
    </row>
    <row r="137" spans="1:26" x14ac:dyDescent="0.25">
      <c r="A137" s="107"/>
      <c r="B137" s="107"/>
      <c r="C137" s="107"/>
      <c r="D137" s="107"/>
      <c r="E137" s="107"/>
      <c r="F137" s="132" t="s">
        <v>104</v>
      </c>
      <c r="G137" s="107"/>
      <c r="H137" s="118">
        <f>'Roads &amp; Mowing (2)'!M23</f>
        <v>0</v>
      </c>
      <c r="I137" s="118">
        <f>'Roads &amp; Mowing (2)'!N23</f>
        <v>0</v>
      </c>
      <c r="J137" s="118">
        <f>'Roads &amp; Mowing (2)'!O23</f>
        <v>0</v>
      </c>
      <c r="K137" s="118">
        <f>'Roads &amp; Mowing (2)'!P23</f>
        <v>0</v>
      </c>
      <c r="L137" s="118">
        <f>'Roads &amp; Mowing (2)'!Q23</f>
        <v>0</v>
      </c>
      <c r="M137" s="118">
        <f>'Roads &amp; Mowing (2)'!C49</f>
        <v>0</v>
      </c>
      <c r="N137" s="118">
        <f>'Roads &amp; Mowing (2)'!D49</f>
        <v>0</v>
      </c>
      <c r="O137" s="118">
        <f>'Roads &amp; Mowing (2)'!E49</f>
        <v>0</v>
      </c>
      <c r="P137" s="118">
        <f>'Roads &amp; Mowing (2)'!F49</f>
        <v>0</v>
      </c>
      <c r="Q137" s="118">
        <f>'Roads &amp; Mowing (2)'!G49</f>
        <v>0</v>
      </c>
      <c r="R137" s="118">
        <f>'Roads &amp; Mowing (2)'!H49</f>
        <v>0</v>
      </c>
      <c r="S137" s="118">
        <f>'Roads &amp; Mowing (2)'!I49</f>
        <v>0</v>
      </c>
      <c r="T137" s="118">
        <f>'Roads &amp; Mowing (2)'!J49</f>
        <v>0</v>
      </c>
      <c r="U137" s="118">
        <f>'Roads &amp; Mowing (2)'!K49</f>
        <v>0</v>
      </c>
      <c r="V137" s="118">
        <f>'Roads &amp; Mowing (2)'!L49</f>
        <v>0</v>
      </c>
      <c r="W137" s="118">
        <f>'Roads &amp; Mowing (2)'!M49</f>
        <v>0</v>
      </c>
      <c r="X137" s="118">
        <f>'Roads &amp; Mowing (2)'!N49</f>
        <v>0</v>
      </c>
      <c r="Y137" s="130">
        <f t="shared" si="17"/>
        <v>0</v>
      </c>
      <c r="Z137" s="113">
        <f t="shared" si="16"/>
        <v>0</v>
      </c>
    </row>
    <row r="138" spans="1:26" ht="15.75" thickBot="1" x14ac:dyDescent="0.3">
      <c r="A138" s="107"/>
      <c r="B138" s="107"/>
      <c r="C138" s="107"/>
      <c r="D138" s="107"/>
      <c r="E138" s="107"/>
      <c r="F138" s="132" t="s">
        <v>105</v>
      </c>
      <c r="G138" s="107"/>
      <c r="H138" s="118">
        <f>'Roads &amp; Mowing (2)'!M24</f>
        <v>0</v>
      </c>
      <c r="I138" s="118">
        <f>'Roads &amp; Mowing (2)'!N24</f>
        <v>0</v>
      </c>
      <c r="J138" s="118">
        <f>'Roads &amp; Mowing (2)'!O24</f>
        <v>0</v>
      </c>
      <c r="K138" s="118">
        <f>'Roads &amp; Mowing (2)'!P24</f>
        <v>0</v>
      </c>
      <c r="L138" s="118">
        <f>'Roads &amp; Mowing (2)'!Q24</f>
        <v>0</v>
      </c>
      <c r="M138" s="118">
        <f>'Roads &amp; Mowing (2)'!C50</f>
        <v>0</v>
      </c>
      <c r="N138" s="118">
        <f>'Roads &amp; Mowing (2)'!D50</f>
        <v>0</v>
      </c>
      <c r="O138" s="118">
        <f>'Roads &amp; Mowing (2)'!E50</f>
        <v>0</v>
      </c>
      <c r="P138" s="118">
        <f>'Roads &amp; Mowing (2)'!F50</f>
        <v>0</v>
      </c>
      <c r="Q138" s="118">
        <f>'Roads &amp; Mowing (2)'!G50</f>
        <v>0</v>
      </c>
      <c r="R138" s="118">
        <f>'Roads &amp; Mowing (2)'!H50</f>
        <v>0</v>
      </c>
      <c r="S138" s="118">
        <f>'Roads &amp; Mowing (2)'!I50</f>
        <v>0</v>
      </c>
      <c r="T138" s="118">
        <f>'Roads &amp; Mowing (2)'!J50</f>
        <v>0</v>
      </c>
      <c r="U138" s="118">
        <f>'Roads &amp; Mowing (2)'!K50</f>
        <v>0</v>
      </c>
      <c r="V138" s="118">
        <f>'Roads &amp; Mowing (2)'!L50</f>
        <v>0</v>
      </c>
      <c r="W138" s="118">
        <f>'Roads &amp; Mowing (2)'!M50</f>
        <v>0</v>
      </c>
      <c r="X138" s="118">
        <f>'Roads &amp; Mowing (2)'!N50</f>
        <v>0</v>
      </c>
      <c r="Y138" s="130">
        <f t="shared" si="17"/>
        <v>0</v>
      </c>
      <c r="Z138" s="113">
        <f t="shared" si="16"/>
        <v>0</v>
      </c>
    </row>
    <row r="139" spans="1:26" ht="15.75" thickBot="1" x14ac:dyDescent="0.3">
      <c r="A139" s="107"/>
      <c r="B139" s="107"/>
      <c r="C139" s="107"/>
      <c r="D139" s="107"/>
      <c r="E139" s="107" t="s">
        <v>106</v>
      </c>
      <c r="F139" s="107"/>
      <c r="G139" s="107"/>
      <c r="H139" s="131">
        <f>ROUND(SUM(H118:H138),5)</f>
        <v>33685</v>
      </c>
      <c r="I139" s="131">
        <f t="shared" ref="I139:Y139" si="18">ROUND(SUM(I118:I138),5)</f>
        <v>42607.775000000001</v>
      </c>
      <c r="J139" s="131">
        <f t="shared" si="18"/>
        <v>29036.891629999998</v>
      </c>
      <c r="K139" s="131">
        <f t="shared" si="18"/>
        <v>29472.445</v>
      </c>
      <c r="L139" s="131">
        <f t="shared" si="18"/>
        <v>29914.53167</v>
      </c>
      <c r="M139" s="131">
        <f t="shared" si="18"/>
        <v>2217.0833299999999</v>
      </c>
      <c r="N139" s="131">
        <f t="shared" si="18"/>
        <v>2217.0833299999999</v>
      </c>
      <c r="O139" s="131">
        <f t="shared" si="18"/>
        <v>1664.5833299999999</v>
      </c>
      <c r="P139" s="131">
        <f t="shared" si="18"/>
        <v>1664.5833299999999</v>
      </c>
      <c r="Q139" s="131">
        <f t="shared" si="18"/>
        <v>1664.5833299999999</v>
      </c>
      <c r="R139" s="131">
        <f t="shared" si="18"/>
        <v>1664.5833299999999</v>
      </c>
      <c r="S139" s="131">
        <f t="shared" si="18"/>
        <v>1664.5833299999999</v>
      </c>
      <c r="T139" s="131">
        <f t="shared" si="18"/>
        <v>7164.5833300000004</v>
      </c>
      <c r="U139" s="131">
        <f t="shared" si="18"/>
        <v>1664.5833299999999</v>
      </c>
      <c r="V139" s="131">
        <f t="shared" si="18"/>
        <v>1664.5833299999999</v>
      </c>
      <c r="W139" s="131">
        <f t="shared" si="18"/>
        <v>2217.0833299999999</v>
      </c>
      <c r="X139" s="131">
        <f t="shared" si="18"/>
        <v>8217.0833299999995</v>
      </c>
      <c r="Y139" s="131">
        <f t="shared" si="18"/>
        <v>33685</v>
      </c>
      <c r="Z139" s="113">
        <f t="shared" si="16"/>
        <v>0</v>
      </c>
    </row>
    <row r="140" spans="1:26" hidden="1" x14ac:dyDescent="0.25">
      <c r="A140" s="107"/>
      <c r="B140" s="107"/>
      <c r="C140" s="107"/>
      <c r="D140" s="107" t="s">
        <v>164</v>
      </c>
      <c r="E140" s="107"/>
      <c r="F140" s="107"/>
      <c r="G140" s="107"/>
      <c r="H140" s="118">
        <f>ROUND(H28+H37+H61+H83+H116+H139,5)</f>
        <v>181997.32324999999</v>
      </c>
      <c r="I140" s="118">
        <f t="shared" ref="I140:X140" si="19">ROUND(I28+I37+I61+I83+I116+I139,5)</f>
        <v>199485.19193999999</v>
      </c>
      <c r="J140" s="118">
        <f t="shared" si="19"/>
        <v>193250.01014</v>
      </c>
      <c r="K140" s="118">
        <f t="shared" si="19"/>
        <v>177273.45832999999</v>
      </c>
      <c r="L140" s="118">
        <f t="shared" si="19"/>
        <v>175248.64489</v>
      </c>
      <c r="M140" s="118">
        <f t="shared" si="19"/>
        <v>11210.610269999999</v>
      </c>
      <c r="N140" s="118">
        <f t="shared" si="19"/>
        <v>11210.610269999999</v>
      </c>
      <c r="O140" s="118">
        <f t="shared" si="19"/>
        <v>11248.110269999999</v>
      </c>
      <c r="P140" s="118">
        <f t="shared" si="19"/>
        <v>12448.110269999999</v>
      </c>
      <c r="Q140" s="118">
        <f t="shared" si="19"/>
        <v>31133.110270000001</v>
      </c>
      <c r="R140" s="118">
        <f t="shared" si="19"/>
        <v>16993.110270000001</v>
      </c>
      <c r="S140" s="118">
        <f t="shared" si="19"/>
        <v>17533.110270000001</v>
      </c>
      <c r="T140" s="118">
        <f t="shared" si="19"/>
        <v>18933.110270000001</v>
      </c>
      <c r="U140" s="118">
        <f t="shared" si="19"/>
        <v>11033.110269999999</v>
      </c>
      <c r="V140" s="118">
        <f t="shared" si="19"/>
        <v>10933.110269999999</v>
      </c>
      <c r="W140" s="118">
        <f t="shared" si="19"/>
        <v>11480.610269999999</v>
      </c>
      <c r="X140" s="118">
        <f t="shared" si="19"/>
        <v>17840.610270000001</v>
      </c>
      <c r="Y140" s="130">
        <f t="shared" si="17"/>
        <v>181997.32324000003</v>
      </c>
      <c r="Z140" s="113">
        <f t="shared" si="16"/>
        <v>0</v>
      </c>
    </row>
    <row r="141" spans="1:26" x14ac:dyDescent="0.25">
      <c r="A141" s="107"/>
      <c r="B141" s="107"/>
      <c r="C141" s="107"/>
      <c r="D141" s="107" t="s">
        <v>128</v>
      </c>
      <c r="E141" s="107"/>
      <c r="F141" s="107"/>
      <c r="G141" s="107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30"/>
    </row>
    <row r="142" spans="1:26" x14ac:dyDescent="0.25">
      <c r="A142" s="107"/>
      <c r="B142" s="107"/>
      <c r="C142" s="107"/>
      <c r="D142" s="107"/>
      <c r="F142" s="107" t="s">
        <v>123</v>
      </c>
      <c r="G142" s="107"/>
      <c r="H142" s="118">
        <f>Finance!M4</f>
        <v>19000</v>
      </c>
      <c r="I142" s="118">
        <f>Finance!N4</f>
        <v>19284.999999999996</v>
      </c>
      <c r="J142" s="118">
        <f>Finance!O4</f>
        <v>19574.274999999994</v>
      </c>
      <c r="K142" s="118">
        <f>Finance!P4</f>
        <v>19867.889124999991</v>
      </c>
      <c r="L142" s="118">
        <f>Finance!Q4</f>
        <v>20165.907461874987</v>
      </c>
      <c r="M142" s="118">
        <f>Finance!C17</f>
        <v>1583.3333333333333</v>
      </c>
      <c r="N142" s="118">
        <f>Finance!D17</f>
        <v>1583.3333333333333</v>
      </c>
      <c r="O142" s="118">
        <f>Finance!E17</f>
        <v>1583.3333333333333</v>
      </c>
      <c r="P142" s="118">
        <f>Finance!F17</f>
        <v>1583.3333333333333</v>
      </c>
      <c r="Q142" s="118">
        <f>Finance!G17</f>
        <v>1583.3333333333333</v>
      </c>
      <c r="R142" s="118">
        <f>Finance!H17</f>
        <v>1583.3333333333333</v>
      </c>
      <c r="S142" s="118">
        <f>Finance!I17</f>
        <v>1583.3333333333333</v>
      </c>
      <c r="T142" s="118">
        <f>Finance!J17</f>
        <v>1583.3333333333333</v>
      </c>
      <c r="U142" s="118">
        <f>Finance!K17</f>
        <v>1583.3333333333333</v>
      </c>
      <c r="V142" s="118">
        <f>Finance!L17</f>
        <v>1583.3333333333333</v>
      </c>
      <c r="W142" s="118">
        <f>Finance!M17</f>
        <v>1583.3333333333333</v>
      </c>
      <c r="X142" s="118">
        <f>Finance!N17</f>
        <v>1583.3333333333333</v>
      </c>
      <c r="Y142" s="130">
        <f t="shared" si="17"/>
        <v>19000</v>
      </c>
      <c r="Z142" s="113">
        <f t="shared" si="16"/>
        <v>0</v>
      </c>
    </row>
    <row r="143" spans="1:26" x14ac:dyDescent="0.25">
      <c r="A143" s="107"/>
      <c r="B143" s="107"/>
      <c r="C143" s="107"/>
      <c r="D143" s="107"/>
      <c r="F143" s="107" t="s">
        <v>124</v>
      </c>
      <c r="G143" s="107"/>
      <c r="H143" s="118">
        <f>Revenue!M$4*'Master Input Tab'!$B$8*'Master Input Tab'!$B$9</f>
        <v>2474.1259375</v>
      </c>
      <c r="I143" s="118">
        <f>Revenue!N$4*'Master Input Tab'!$B$8*'Master Input Tab'!$B$9</f>
        <v>2511.2378265624993</v>
      </c>
      <c r="J143" s="118">
        <f>Revenue!O$4*'Master Input Tab'!$B$8*'Master Input Tab'!$B$9</f>
        <v>2548.9063939609368</v>
      </c>
      <c r="K143" s="118">
        <f>Revenue!P$4*'Master Input Tab'!$B$8*'Master Input Tab'!$B$9</f>
        <v>2587.1399898703503</v>
      </c>
      <c r="L143" s="118">
        <f>Revenue!Q$4*'Master Input Tab'!$B$8*'Master Input Tab'!$B$9</f>
        <v>2625.9470897184056</v>
      </c>
      <c r="M143" s="118">
        <f>($M$6*'Master Input Tab'!$B$8*'Master Input Tab'!$B$9)/12</f>
        <v>206.17716145833333</v>
      </c>
      <c r="N143" s="118">
        <f>($M$6*'Master Input Tab'!$B$8*'Master Input Tab'!$B$9)/12</f>
        <v>206.17716145833333</v>
      </c>
      <c r="O143" s="118">
        <f>($M$6*'Master Input Tab'!$B$8*'Master Input Tab'!$B$9)/12</f>
        <v>206.17716145833333</v>
      </c>
      <c r="P143" s="118">
        <f>($M$6*'Master Input Tab'!$B$8*'Master Input Tab'!$B$9)/12</f>
        <v>206.17716145833333</v>
      </c>
      <c r="Q143" s="118">
        <f>($M$6*'Master Input Tab'!$B$8*'Master Input Tab'!$B$9)/12</f>
        <v>206.17716145833333</v>
      </c>
      <c r="R143" s="118">
        <f>($M$6*'Master Input Tab'!$B$8*'Master Input Tab'!$B$9)/12</f>
        <v>206.17716145833333</v>
      </c>
      <c r="S143" s="118">
        <f>($M$6*'Master Input Tab'!$B$8*'Master Input Tab'!$B$9)/12</f>
        <v>206.17716145833333</v>
      </c>
      <c r="T143" s="118">
        <f>($M$6*'Master Input Tab'!$B$8*'Master Input Tab'!$B$9)/12</f>
        <v>206.17716145833333</v>
      </c>
      <c r="U143" s="118">
        <f>($M$6*'Master Input Tab'!$B$8*'Master Input Tab'!$B$9)/12</f>
        <v>206.17716145833333</v>
      </c>
      <c r="V143" s="118">
        <f>($M$6*'Master Input Tab'!$B$8*'Master Input Tab'!$B$9)/12</f>
        <v>206.17716145833333</v>
      </c>
      <c r="W143" s="118">
        <f>($M$6*'Master Input Tab'!$B$8*'Master Input Tab'!$B$9)/12</f>
        <v>206.17716145833333</v>
      </c>
      <c r="X143" s="118">
        <f>($M$6*'Master Input Tab'!$B$8*'Master Input Tab'!$B$9)/12</f>
        <v>206.17716145833333</v>
      </c>
      <c r="Y143" s="130">
        <f t="shared" si="17"/>
        <v>2474.1259375</v>
      </c>
      <c r="Z143" s="113">
        <f t="shared" si="16"/>
        <v>0</v>
      </c>
    </row>
    <row r="144" spans="1:26" x14ac:dyDescent="0.25">
      <c r="A144" s="107"/>
      <c r="B144" s="107"/>
      <c r="C144" s="107"/>
      <c r="D144" s="107"/>
      <c r="F144" s="107" t="s">
        <v>125</v>
      </c>
      <c r="G144" s="107"/>
      <c r="H144" s="118">
        <f>Finance!M6</f>
        <v>0</v>
      </c>
      <c r="I144" s="118">
        <f>Finance!N6</f>
        <v>0</v>
      </c>
      <c r="J144" s="118">
        <f>Finance!O6</f>
        <v>0</v>
      </c>
      <c r="K144" s="118">
        <f>Finance!P6</f>
        <v>0</v>
      </c>
      <c r="L144" s="118">
        <f>Finance!Q6</f>
        <v>0</v>
      </c>
      <c r="M144" s="118">
        <f>Finance!C19</f>
        <v>0</v>
      </c>
      <c r="N144" s="118">
        <f>Finance!D19</f>
        <v>0</v>
      </c>
      <c r="O144" s="118">
        <f>Finance!E19</f>
        <v>0</v>
      </c>
      <c r="P144" s="118">
        <f>Finance!F19</f>
        <v>0</v>
      </c>
      <c r="Q144" s="118">
        <f>Finance!G19</f>
        <v>0</v>
      </c>
      <c r="R144" s="118">
        <f>Finance!H19</f>
        <v>0</v>
      </c>
      <c r="S144" s="118">
        <f>Finance!I19</f>
        <v>0</v>
      </c>
      <c r="T144" s="118">
        <f>Finance!J19</f>
        <v>0</v>
      </c>
      <c r="U144" s="118">
        <f>Finance!K19</f>
        <v>0</v>
      </c>
      <c r="V144" s="118">
        <f>Finance!L19</f>
        <v>0</v>
      </c>
      <c r="W144" s="118">
        <f>Finance!M19</f>
        <v>0</v>
      </c>
      <c r="X144" s="118">
        <f>Finance!N19</f>
        <v>0</v>
      </c>
      <c r="Y144" s="130">
        <f t="shared" si="17"/>
        <v>0</v>
      </c>
      <c r="Z144" s="113">
        <f t="shared" si="16"/>
        <v>0</v>
      </c>
    </row>
    <row r="145" spans="1:26" x14ac:dyDescent="0.25">
      <c r="A145" s="107"/>
      <c r="B145" s="107"/>
      <c r="C145" s="107"/>
      <c r="D145" s="107"/>
      <c r="F145" s="107" t="s">
        <v>126</v>
      </c>
      <c r="G145" s="107"/>
      <c r="H145" s="118">
        <f>Finance!M7</f>
        <v>37750</v>
      </c>
      <c r="I145" s="118">
        <f>Finance!N7</f>
        <v>37750</v>
      </c>
      <c r="J145" s="118">
        <f>Finance!O7</f>
        <v>37750</v>
      </c>
      <c r="K145" s="118">
        <f>Finance!P7</f>
        <v>37750</v>
      </c>
      <c r="L145" s="118">
        <f>Finance!Q7</f>
        <v>37750</v>
      </c>
      <c r="M145" s="118">
        <f>Finance!C20</f>
        <v>3145.8333333333335</v>
      </c>
      <c r="N145" s="118">
        <f>Finance!D20</f>
        <v>3145.8333333333335</v>
      </c>
      <c r="O145" s="118">
        <f>Finance!E20</f>
        <v>3145.8333333333335</v>
      </c>
      <c r="P145" s="118">
        <f>Finance!F20</f>
        <v>3145.8333333333335</v>
      </c>
      <c r="Q145" s="118">
        <f>Finance!G20</f>
        <v>3145.8333333333335</v>
      </c>
      <c r="R145" s="118">
        <f>Finance!H20</f>
        <v>3145.8333333333335</v>
      </c>
      <c r="S145" s="118">
        <f>Finance!I20</f>
        <v>3145.8333333333335</v>
      </c>
      <c r="T145" s="118">
        <f>Finance!J20</f>
        <v>3145.8333333333335</v>
      </c>
      <c r="U145" s="118">
        <f>Finance!K20</f>
        <v>3145.8333333333335</v>
      </c>
      <c r="V145" s="118">
        <f>Finance!L20</f>
        <v>3145.8333333333335</v>
      </c>
      <c r="W145" s="118">
        <f>Finance!M20</f>
        <v>3145.8333333333335</v>
      </c>
      <c r="X145" s="118">
        <f>Finance!N20</f>
        <v>3145.8333333333335</v>
      </c>
      <c r="Y145" s="130">
        <f t="shared" si="17"/>
        <v>37750</v>
      </c>
      <c r="Z145" s="113">
        <f t="shared" si="16"/>
        <v>0</v>
      </c>
    </row>
    <row r="146" spans="1:26" ht="15.75" thickBot="1" x14ac:dyDescent="0.3">
      <c r="A146" s="107"/>
      <c r="B146" s="107"/>
      <c r="C146" s="107"/>
      <c r="D146" s="107"/>
      <c r="F146" s="107" t="s">
        <v>127</v>
      </c>
      <c r="G146" s="107"/>
      <c r="H146" s="134">
        <f>Revenue!M$4*'Master Input Tab'!$B$8</f>
        <v>9896.5037499999999</v>
      </c>
      <c r="I146" s="134">
        <f>Revenue!N$4*'Master Input Tab'!$B$8</f>
        <v>10044.951306249997</v>
      </c>
      <c r="J146" s="134">
        <f>Revenue!O$4*'Master Input Tab'!$B$8</f>
        <v>10195.625575843747</v>
      </c>
      <c r="K146" s="134">
        <f>Revenue!P$4*'Master Input Tab'!$B$8</f>
        <v>10348.559959481401</v>
      </c>
      <c r="L146" s="134">
        <f>Revenue!Q$4*'Master Input Tab'!$B$8</f>
        <v>10503.788358873622</v>
      </c>
      <c r="M146" s="134">
        <v>0</v>
      </c>
      <c r="N146" s="134">
        <v>0</v>
      </c>
      <c r="O146" s="134">
        <v>0</v>
      </c>
      <c r="P146" s="134">
        <v>0</v>
      </c>
      <c r="Q146" s="134">
        <v>0</v>
      </c>
      <c r="R146" s="134">
        <f>$M$6*'Master Input Tab'!$B$8</f>
        <v>9896.5037499999999</v>
      </c>
      <c r="S146" s="134">
        <v>0</v>
      </c>
      <c r="T146" s="134">
        <v>0</v>
      </c>
      <c r="U146" s="134">
        <v>0</v>
      </c>
      <c r="V146" s="134">
        <v>0</v>
      </c>
      <c r="W146" s="134">
        <v>0</v>
      </c>
      <c r="X146" s="134">
        <v>0</v>
      </c>
      <c r="Y146" s="135">
        <f t="shared" si="17"/>
        <v>9896.5037499999999</v>
      </c>
      <c r="Z146" s="113">
        <f t="shared" si="16"/>
        <v>0</v>
      </c>
    </row>
    <row r="147" spans="1:26" x14ac:dyDescent="0.25">
      <c r="A147" s="107"/>
      <c r="B147" s="107"/>
      <c r="C147" s="107"/>
      <c r="D147" s="107" t="s">
        <v>165</v>
      </c>
      <c r="E147" s="107"/>
      <c r="F147" s="107"/>
      <c r="G147" s="107"/>
      <c r="H147" s="118">
        <f>ROUND(SUM(H142:H146),5)</f>
        <v>69120.629690000002</v>
      </c>
      <c r="I147" s="118">
        <f t="shared" ref="I147:Y147" si="20">ROUND(SUM(I142:I146),5)</f>
        <v>69591.189129999999</v>
      </c>
      <c r="J147" s="118">
        <f t="shared" si="20"/>
        <v>70068.806970000005</v>
      </c>
      <c r="K147" s="118">
        <f t="shared" si="20"/>
        <v>70553.589070000002</v>
      </c>
      <c r="L147" s="118">
        <f t="shared" si="20"/>
        <v>71045.642909999995</v>
      </c>
      <c r="M147" s="118">
        <f t="shared" si="20"/>
        <v>4935.3438299999998</v>
      </c>
      <c r="N147" s="118">
        <f t="shared" si="20"/>
        <v>4935.3438299999998</v>
      </c>
      <c r="O147" s="118">
        <f t="shared" si="20"/>
        <v>4935.3438299999998</v>
      </c>
      <c r="P147" s="118">
        <f t="shared" si="20"/>
        <v>4935.3438299999998</v>
      </c>
      <c r="Q147" s="118">
        <f t="shared" si="20"/>
        <v>4935.3438299999998</v>
      </c>
      <c r="R147" s="118">
        <f t="shared" si="20"/>
        <v>14831.84758</v>
      </c>
      <c r="S147" s="118">
        <f t="shared" si="20"/>
        <v>4935.3438299999998</v>
      </c>
      <c r="T147" s="118">
        <f t="shared" si="20"/>
        <v>4935.3438299999998</v>
      </c>
      <c r="U147" s="118">
        <f t="shared" si="20"/>
        <v>4935.3438299999998</v>
      </c>
      <c r="V147" s="118">
        <f t="shared" si="20"/>
        <v>4935.3438299999998</v>
      </c>
      <c r="W147" s="118">
        <f t="shared" si="20"/>
        <v>4935.3438299999998</v>
      </c>
      <c r="X147" s="118">
        <f t="shared" si="20"/>
        <v>4935.3438299999998</v>
      </c>
      <c r="Y147" s="118">
        <f t="shared" si="20"/>
        <v>69120.629690000002</v>
      </c>
      <c r="Z147" s="113">
        <f t="shared" si="16"/>
        <v>0</v>
      </c>
    </row>
    <row r="148" spans="1:26" x14ac:dyDescent="0.25">
      <c r="A148" s="107"/>
      <c r="B148" s="107"/>
      <c r="C148" s="107"/>
      <c r="D148" s="107" t="s">
        <v>107</v>
      </c>
      <c r="E148" s="107"/>
      <c r="F148" s="107"/>
      <c r="G148" s="107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30"/>
    </row>
    <row r="149" spans="1:26" x14ac:dyDescent="0.25">
      <c r="A149" s="107"/>
      <c r="B149" s="107"/>
      <c r="C149" s="107"/>
      <c r="D149" s="107"/>
      <c r="F149" s="132" t="s">
        <v>108</v>
      </c>
      <c r="G149" s="107"/>
      <c r="H149" s="133">
        <f>Security!M4</f>
        <v>7455.5</v>
      </c>
      <c r="I149" s="133">
        <f>Security!N4</f>
        <v>9339.5249999999996</v>
      </c>
      <c r="J149" s="133">
        <f>Security!O4</f>
        <v>10999.885</v>
      </c>
      <c r="K149" s="133">
        <f>Security!P4</f>
        <v>12660.245000000001</v>
      </c>
      <c r="L149" s="133">
        <f>Security!Q4</f>
        <v>14320.605</v>
      </c>
      <c r="M149" s="133">
        <f>Security!C11</f>
        <v>621.29166666666663</v>
      </c>
      <c r="N149" s="133">
        <f>Security!D11</f>
        <v>621.29166666666663</v>
      </c>
      <c r="O149" s="133">
        <f>Security!E11</f>
        <v>621.29166666666663</v>
      </c>
      <c r="P149" s="133">
        <f>Security!F11</f>
        <v>621.29166666666663</v>
      </c>
      <c r="Q149" s="133">
        <f>Security!G11</f>
        <v>621.29166666666663</v>
      </c>
      <c r="R149" s="133">
        <f>Security!H11</f>
        <v>621.29166666666663</v>
      </c>
      <c r="S149" s="133">
        <f>Security!I11</f>
        <v>621.29166666666663</v>
      </c>
      <c r="T149" s="133">
        <f>Security!J11</f>
        <v>621.29166666666663</v>
      </c>
      <c r="U149" s="133">
        <f>Security!K11</f>
        <v>621.29166666666663</v>
      </c>
      <c r="V149" s="133">
        <f>Security!L11</f>
        <v>621.29166666666663</v>
      </c>
      <c r="W149" s="133">
        <f>Security!M11</f>
        <v>621.29166666666663</v>
      </c>
      <c r="X149" s="133">
        <f>Security!N11</f>
        <v>621.29166666666663</v>
      </c>
      <c r="Y149" s="130">
        <f t="shared" si="17"/>
        <v>7455.5000000000009</v>
      </c>
      <c r="Z149" s="113">
        <f t="shared" si="16"/>
        <v>0</v>
      </c>
    </row>
    <row r="150" spans="1:26" ht="15.75" thickBot="1" x14ac:dyDescent="0.3">
      <c r="A150" s="107"/>
      <c r="B150" s="107"/>
      <c r="C150" s="107"/>
      <c r="D150" s="107"/>
      <c r="F150" s="132" t="s">
        <v>109</v>
      </c>
      <c r="G150" s="107"/>
      <c r="H150" s="134">
        <f>Security!M5</f>
        <v>0</v>
      </c>
      <c r="I150" s="134">
        <f>Security!N5</f>
        <v>0</v>
      </c>
      <c r="J150" s="134">
        <f>Security!O5</f>
        <v>0</v>
      </c>
      <c r="K150" s="134">
        <f>Security!P5</f>
        <v>0</v>
      </c>
      <c r="L150" s="134">
        <f>Security!Q5</f>
        <v>0</v>
      </c>
      <c r="M150" s="134">
        <f>Security!C12</f>
        <v>0</v>
      </c>
      <c r="N150" s="134">
        <f>Security!D12</f>
        <v>0</v>
      </c>
      <c r="O150" s="134">
        <f>Security!E12</f>
        <v>0</v>
      </c>
      <c r="P150" s="134">
        <f>Security!F12</f>
        <v>0</v>
      </c>
      <c r="Q150" s="134">
        <f>Security!G12</f>
        <v>0</v>
      </c>
      <c r="R150" s="134">
        <f>Security!H12</f>
        <v>0</v>
      </c>
      <c r="S150" s="134">
        <f>Security!I12</f>
        <v>0</v>
      </c>
      <c r="T150" s="134">
        <f>Security!J12</f>
        <v>0</v>
      </c>
      <c r="U150" s="134">
        <f>Security!K12</f>
        <v>0</v>
      </c>
      <c r="V150" s="134">
        <f>Security!L12</f>
        <v>0</v>
      </c>
      <c r="W150" s="134">
        <f>Security!M12</f>
        <v>0</v>
      </c>
      <c r="X150" s="134">
        <f>Security!N12</f>
        <v>0</v>
      </c>
      <c r="Y150" s="135">
        <f t="shared" si="17"/>
        <v>0</v>
      </c>
      <c r="Z150" s="113">
        <f t="shared" si="16"/>
        <v>0</v>
      </c>
    </row>
    <row r="151" spans="1:26" x14ac:dyDescent="0.25">
      <c r="A151" s="107"/>
      <c r="B151" s="107"/>
      <c r="C151" s="107"/>
      <c r="D151" s="107" t="s">
        <v>110</v>
      </c>
      <c r="E151" s="107"/>
      <c r="F151" s="107"/>
      <c r="G151" s="107"/>
      <c r="H151" s="118">
        <f>ROUND(SUM(H149:H150),5)</f>
        <v>7455.5</v>
      </c>
      <c r="I151" s="118">
        <f t="shared" ref="I151:Y151" si="21">ROUND(SUM(I149:I150),5)</f>
        <v>9339.5249999999996</v>
      </c>
      <c r="J151" s="118">
        <f t="shared" si="21"/>
        <v>10999.885</v>
      </c>
      <c r="K151" s="118">
        <f t="shared" si="21"/>
        <v>12660.245000000001</v>
      </c>
      <c r="L151" s="118">
        <f t="shared" si="21"/>
        <v>14320.605</v>
      </c>
      <c r="M151" s="118">
        <f t="shared" si="21"/>
        <v>621.29166999999995</v>
      </c>
      <c r="N151" s="118">
        <f t="shared" si="21"/>
        <v>621.29166999999995</v>
      </c>
      <c r="O151" s="118">
        <f t="shared" si="21"/>
        <v>621.29166999999995</v>
      </c>
      <c r="P151" s="118">
        <f t="shared" si="21"/>
        <v>621.29166999999995</v>
      </c>
      <c r="Q151" s="118">
        <f t="shared" si="21"/>
        <v>621.29166999999995</v>
      </c>
      <c r="R151" s="118">
        <f t="shared" si="21"/>
        <v>621.29166999999995</v>
      </c>
      <c r="S151" s="118">
        <f t="shared" si="21"/>
        <v>621.29166999999995</v>
      </c>
      <c r="T151" s="118">
        <f t="shared" si="21"/>
        <v>621.29166999999995</v>
      </c>
      <c r="U151" s="118">
        <f t="shared" si="21"/>
        <v>621.29166999999995</v>
      </c>
      <c r="V151" s="118">
        <f t="shared" si="21"/>
        <v>621.29166999999995</v>
      </c>
      <c r="W151" s="118">
        <f t="shared" si="21"/>
        <v>621.29166999999995</v>
      </c>
      <c r="X151" s="118">
        <f t="shared" si="21"/>
        <v>621.29166999999995</v>
      </c>
      <c r="Y151" s="118">
        <f t="shared" si="21"/>
        <v>7455.5</v>
      </c>
      <c r="Z151" s="113">
        <f t="shared" si="16"/>
        <v>0</v>
      </c>
    </row>
    <row r="152" spans="1:26" x14ac:dyDescent="0.25">
      <c r="A152" s="107"/>
      <c r="B152" s="107"/>
      <c r="C152" s="107"/>
      <c r="E152" s="107"/>
      <c r="F152" s="107" t="s">
        <v>166</v>
      </c>
      <c r="G152" s="107"/>
      <c r="H152" s="118">
        <f>Finance!M9</f>
        <v>0</v>
      </c>
      <c r="I152" s="118">
        <f>Finance!N9</f>
        <v>0</v>
      </c>
      <c r="J152" s="118">
        <f>Finance!O9</f>
        <v>0</v>
      </c>
      <c r="K152" s="118">
        <f>Finance!P9</f>
        <v>0</v>
      </c>
      <c r="L152" s="118">
        <f>Finance!Q9</f>
        <v>0</v>
      </c>
      <c r="M152" s="133">
        <f>Finance!C22</f>
        <v>0</v>
      </c>
      <c r="N152" s="133">
        <f>Finance!D22</f>
        <v>0</v>
      </c>
      <c r="O152" s="133">
        <f>Finance!E22</f>
        <v>0</v>
      </c>
      <c r="P152" s="133">
        <f>Finance!F22</f>
        <v>0</v>
      </c>
      <c r="Q152" s="133">
        <f>Finance!G22</f>
        <v>0</v>
      </c>
      <c r="R152" s="133">
        <f>Finance!H22</f>
        <v>0</v>
      </c>
      <c r="S152" s="133">
        <f>Finance!I22</f>
        <v>0</v>
      </c>
      <c r="T152" s="133">
        <f>Finance!J22</f>
        <v>0</v>
      </c>
      <c r="U152" s="133">
        <f>Finance!K22</f>
        <v>0</v>
      </c>
      <c r="V152" s="133">
        <f>Finance!L22</f>
        <v>0</v>
      </c>
      <c r="W152" s="133">
        <f>Finance!M22</f>
        <v>0</v>
      </c>
      <c r="X152" s="133">
        <f>Finance!N22</f>
        <v>0</v>
      </c>
      <c r="Y152" s="130">
        <f t="shared" si="17"/>
        <v>0</v>
      </c>
      <c r="Z152" s="113">
        <f t="shared" si="16"/>
        <v>0</v>
      </c>
    </row>
    <row r="153" spans="1:26" x14ac:dyDescent="0.25">
      <c r="A153" s="107"/>
      <c r="B153" s="107"/>
      <c r="C153" s="107"/>
      <c r="E153" s="107"/>
      <c r="F153" s="107" t="s">
        <v>266</v>
      </c>
      <c r="G153" s="107"/>
      <c r="H153" s="118">
        <f>Finance!M10</f>
        <v>12370.629687499999</v>
      </c>
      <c r="I153" s="118">
        <f>Finance!N10</f>
        <v>12556.189132812498</v>
      </c>
      <c r="J153" s="118">
        <f>Finance!O10</f>
        <v>12744.531969804684</v>
      </c>
      <c r="K153" s="118">
        <f>Finance!P10</f>
        <v>12935.699949351752</v>
      </c>
      <c r="L153" s="118">
        <f>Finance!Q10</f>
        <v>13129.73544859203</v>
      </c>
      <c r="M153" s="133">
        <f>Finance!C23</f>
        <v>0</v>
      </c>
      <c r="N153" s="133">
        <f>Finance!D23</f>
        <v>0</v>
      </c>
      <c r="O153" s="133">
        <f>Finance!E23</f>
        <v>0</v>
      </c>
      <c r="P153" s="133">
        <f>Finance!F23</f>
        <v>0</v>
      </c>
      <c r="Q153" s="133">
        <f>Finance!G23</f>
        <v>0</v>
      </c>
      <c r="R153" s="133">
        <f>Finance!H23</f>
        <v>12370.629687499999</v>
      </c>
      <c r="S153" s="133">
        <f>Finance!I23</f>
        <v>0</v>
      </c>
      <c r="T153" s="133">
        <f>Finance!J23</f>
        <v>0</v>
      </c>
      <c r="U153" s="133">
        <f>Finance!K23</f>
        <v>0</v>
      </c>
      <c r="V153" s="133">
        <f>Finance!L23</f>
        <v>0</v>
      </c>
      <c r="W153" s="133">
        <f>Finance!M23</f>
        <v>0</v>
      </c>
      <c r="X153" s="133">
        <f>Finance!N23</f>
        <v>0</v>
      </c>
      <c r="Y153" s="130">
        <f t="shared" ref="Y153" si="22">SUM(M153:X153)</f>
        <v>12370.629687499999</v>
      </c>
      <c r="Z153" s="113">
        <f t="shared" ref="Z153" si="23">ROUND(Y153-H153,0)</f>
        <v>0</v>
      </c>
    </row>
    <row r="154" spans="1:26" ht="15.75" thickBot="1" x14ac:dyDescent="0.3">
      <c r="A154" s="107"/>
      <c r="B154" s="107"/>
      <c r="C154" s="107"/>
      <c r="E154" s="107"/>
      <c r="F154" s="107" t="s">
        <v>167</v>
      </c>
      <c r="G154" s="107"/>
      <c r="H154" s="133">
        <f>Finance!M11</f>
        <v>0</v>
      </c>
      <c r="I154" s="133">
        <f>Finance!N11</f>
        <v>0</v>
      </c>
      <c r="J154" s="133">
        <f>Finance!O11</f>
        <v>0</v>
      </c>
      <c r="K154" s="133">
        <f>Finance!P11</f>
        <v>0</v>
      </c>
      <c r="L154" s="133">
        <f>Finance!Q11</f>
        <v>0</v>
      </c>
      <c r="M154" s="134">
        <f>Finance!C24</f>
        <v>0</v>
      </c>
      <c r="N154" s="134">
        <f>Finance!D24</f>
        <v>0</v>
      </c>
      <c r="O154" s="134">
        <f>Finance!E24</f>
        <v>0</v>
      </c>
      <c r="P154" s="134">
        <f>Finance!F24</f>
        <v>0</v>
      </c>
      <c r="Q154" s="134">
        <f>Finance!G24</f>
        <v>0</v>
      </c>
      <c r="R154" s="134">
        <f>Finance!H24</f>
        <v>0</v>
      </c>
      <c r="S154" s="134">
        <f>Finance!I24</f>
        <v>0</v>
      </c>
      <c r="T154" s="134">
        <f>Finance!J24</f>
        <v>0</v>
      </c>
      <c r="U154" s="134">
        <f>Finance!K24</f>
        <v>0</v>
      </c>
      <c r="V154" s="134">
        <f>Finance!L24</f>
        <v>0</v>
      </c>
      <c r="W154" s="134">
        <f>Finance!M24</f>
        <v>0</v>
      </c>
      <c r="X154" s="134">
        <f>Finance!N24</f>
        <v>0</v>
      </c>
      <c r="Y154" s="130">
        <f t="shared" si="17"/>
        <v>0</v>
      </c>
      <c r="Z154" s="113">
        <f t="shared" si="16"/>
        <v>0</v>
      </c>
    </row>
    <row r="155" spans="1:26" ht="15.75" thickBot="1" x14ac:dyDescent="0.3">
      <c r="A155" s="107"/>
      <c r="B155" s="107"/>
      <c r="C155" s="107" t="s">
        <v>164</v>
      </c>
      <c r="D155" s="107"/>
      <c r="E155" s="107"/>
      <c r="F155" s="107"/>
      <c r="G155" s="107"/>
      <c r="H155" s="136">
        <f>ROUND(H140+H147+SUM(H151:H154),5)</f>
        <v>270944.08263000002</v>
      </c>
      <c r="I155" s="136">
        <f t="shared" ref="I155:Y155" si="24">ROUND(I140+I147+SUM(I151:I154),5)</f>
        <v>290972.09519999998</v>
      </c>
      <c r="J155" s="136">
        <f t="shared" si="24"/>
        <v>287063.23408000002</v>
      </c>
      <c r="K155" s="136">
        <f t="shared" si="24"/>
        <v>273422.99235000001</v>
      </c>
      <c r="L155" s="136">
        <f t="shared" si="24"/>
        <v>273744.62825000001</v>
      </c>
      <c r="M155" s="136">
        <f t="shared" si="24"/>
        <v>16767.245770000001</v>
      </c>
      <c r="N155" s="136">
        <f t="shared" si="24"/>
        <v>16767.245770000001</v>
      </c>
      <c r="O155" s="136">
        <f t="shared" si="24"/>
        <v>16804.745770000001</v>
      </c>
      <c r="P155" s="136">
        <f t="shared" si="24"/>
        <v>18004.745770000001</v>
      </c>
      <c r="Q155" s="136">
        <f t="shared" si="24"/>
        <v>36689.745770000001</v>
      </c>
      <c r="R155" s="136">
        <f t="shared" si="24"/>
        <v>44816.879209999999</v>
      </c>
      <c r="S155" s="136">
        <f t="shared" si="24"/>
        <v>23089.745770000001</v>
      </c>
      <c r="T155" s="136">
        <f t="shared" si="24"/>
        <v>24489.745770000001</v>
      </c>
      <c r="U155" s="136">
        <f t="shared" si="24"/>
        <v>16589.745770000001</v>
      </c>
      <c r="V155" s="136">
        <f t="shared" si="24"/>
        <v>16489.745770000001</v>
      </c>
      <c r="W155" s="136">
        <f t="shared" si="24"/>
        <v>17037.245770000001</v>
      </c>
      <c r="X155" s="136">
        <f t="shared" si="24"/>
        <v>23397.245770000001</v>
      </c>
      <c r="Y155" s="136">
        <f t="shared" si="24"/>
        <v>270944.08262</v>
      </c>
      <c r="Z155" s="113">
        <f t="shared" si="16"/>
        <v>0</v>
      </c>
    </row>
    <row r="156" spans="1:26" ht="15.75" thickBot="1" x14ac:dyDescent="0.3">
      <c r="A156" s="107" t="s">
        <v>168</v>
      </c>
      <c r="B156" s="107"/>
      <c r="C156" s="107"/>
      <c r="D156" s="107"/>
      <c r="E156" s="107"/>
      <c r="F156" s="107"/>
      <c r="G156" s="107"/>
      <c r="H156" s="136">
        <f>ROUND(+H26-H155,5)</f>
        <v>-10030.488880000001</v>
      </c>
      <c r="I156" s="136">
        <f t="shared" ref="I156:Y156" si="25">ROUND(+I26-I155,5)</f>
        <v>-26347.312539999999</v>
      </c>
      <c r="J156" s="136">
        <f t="shared" si="25"/>
        <v>-18671.594679999998</v>
      </c>
      <c r="K156" s="136">
        <f t="shared" si="25"/>
        <v>-1207.9933599999999</v>
      </c>
      <c r="L156" s="136">
        <f t="shared" si="25"/>
        <v>2351.0807199999999</v>
      </c>
      <c r="M156" s="136">
        <f t="shared" si="25"/>
        <v>230966.18131000001</v>
      </c>
      <c r="N156" s="136">
        <f t="shared" si="25"/>
        <v>-16446.41244</v>
      </c>
      <c r="O156" s="136">
        <f t="shared" si="25"/>
        <v>-16483.91244</v>
      </c>
      <c r="P156" s="136">
        <f t="shared" si="25"/>
        <v>-17683.91244</v>
      </c>
      <c r="Q156" s="136">
        <f t="shared" si="25"/>
        <v>-33956.16244</v>
      </c>
      <c r="R156" s="136">
        <f t="shared" si="25"/>
        <v>-42083.295879999998</v>
      </c>
      <c r="S156" s="136">
        <f t="shared" si="25"/>
        <v>-20356.16244</v>
      </c>
      <c r="T156" s="136">
        <f t="shared" si="25"/>
        <v>-21756.16244</v>
      </c>
      <c r="U156" s="136">
        <f t="shared" si="25"/>
        <v>-16268.91244</v>
      </c>
      <c r="V156" s="136">
        <f t="shared" si="25"/>
        <v>-16168.91244</v>
      </c>
      <c r="W156" s="136">
        <f t="shared" si="25"/>
        <v>-16716.41244</v>
      </c>
      <c r="X156" s="136">
        <f t="shared" si="25"/>
        <v>-23076.41244</v>
      </c>
      <c r="Y156" s="136">
        <f t="shared" si="25"/>
        <v>-10030.48891</v>
      </c>
      <c r="Z156" s="113">
        <f t="shared" si="16"/>
        <v>0</v>
      </c>
    </row>
    <row r="157" spans="1:26" ht="15.75" thickBot="1" x14ac:dyDescent="0.3">
      <c r="A157" s="107"/>
      <c r="B157" s="107"/>
      <c r="C157" s="107"/>
      <c r="D157" s="107"/>
      <c r="E157" s="107"/>
      <c r="F157" s="107"/>
      <c r="G157" s="107"/>
      <c r="H157" s="137">
        <f>H156</f>
        <v>-10030.488880000001</v>
      </c>
      <c r="I157" s="137">
        <f t="shared" ref="I157:Y157" si="26">I156</f>
        <v>-26347.312539999999</v>
      </c>
      <c r="J157" s="137">
        <f t="shared" si="26"/>
        <v>-18671.594679999998</v>
      </c>
      <c r="K157" s="137">
        <f t="shared" si="26"/>
        <v>-1207.9933599999999</v>
      </c>
      <c r="L157" s="137">
        <f t="shared" si="26"/>
        <v>2351.0807199999999</v>
      </c>
      <c r="M157" s="137">
        <f t="shared" si="26"/>
        <v>230966.18131000001</v>
      </c>
      <c r="N157" s="137">
        <f t="shared" si="26"/>
        <v>-16446.41244</v>
      </c>
      <c r="O157" s="137">
        <f t="shared" si="26"/>
        <v>-16483.91244</v>
      </c>
      <c r="P157" s="137">
        <f t="shared" si="26"/>
        <v>-17683.91244</v>
      </c>
      <c r="Q157" s="137">
        <f t="shared" si="26"/>
        <v>-33956.16244</v>
      </c>
      <c r="R157" s="137">
        <f t="shared" si="26"/>
        <v>-42083.295879999998</v>
      </c>
      <c r="S157" s="137">
        <f t="shared" si="26"/>
        <v>-20356.16244</v>
      </c>
      <c r="T157" s="137">
        <f t="shared" si="26"/>
        <v>-21756.16244</v>
      </c>
      <c r="U157" s="137">
        <f t="shared" si="26"/>
        <v>-16268.91244</v>
      </c>
      <c r="V157" s="137">
        <f t="shared" si="26"/>
        <v>-16168.91244</v>
      </c>
      <c r="W157" s="137">
        <f t="shared" si="26"/>
        <v>-16716.41244</v>
      </c>
      <c r="X157" s="137">
        <f t="shared" si="26"/>
        <v>-23076.41244</v>
      </c>
      <c r="Y157" s="137">
        <f t="shared" si="26"/>
        <v>-10030.48891</v>
      </c>
      <c r="Z157" s="113">
        <f t="shared" si="16"/>
        <v>0</v>
      </c>
    </row>
    <row r="158" spans="1:26" ht="15.75" thickTop="1" x14ac:dyDescent="0.25"/>
  </sheetData>
  <sheetProtection password="CC20" sheet="1" objects="1" scenarios="1"/>
  <mergeCells count="2">
    <mergeCell ref="M2:Y2"/>
    <mergeCell ref="H2:L2"/>
  </mergeCells>
  <pageMargins left="0.7" right="0.7" top="0.75" bottom="0.7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AA158"/>
  <sheetViews>
    <sheetView zoomScaleNormal="100" workbookViewId="0">
      <pane xSplit="7" ySplit="4" topLeftCell="M5" activePane="bottomRight" state="frozen"/>
      <selection sqref="A1:XFD1048576"/>
      <selection pane="topRight" sqref="A1:XFD1048576"/>
      <selection pane="bottomLeft" sqref="A1:XFD1048576"/>
      <selection pane="bottomRight" activeCell="M5" sqref="M5"/>
    </sheetView>
  </sheetViews>
  <sheetFormatPr defaultRowHeight="15" outlineLevelCol="1" x14ac:dyDescent="0.25"/>
  <cols>
    <col min="1" max="6" width="3" style="119" customWidth="1"/>
    <col min="7" max="7" width="30.140625" style="119" customWidth="1"/>
    <col min="8" max="12" width="15.140625" style="138" hidden="1" customWidth="1" outlineLevel="1"/>
    <col min="13" max="13" width="10.140625" style="109" customWidth="1" collapsed="1"/>
    <col min="14" max="14" width="10.5703125" style="109" customWidth="1"/>
    <col min="15" max="24" width="9.28515625" style="109" bestFit="1" customWidth="1"/>
    <col min="25" max="25" width="12.7109375" style="109" bestFit="1" customWidth="1"/>
    <col min="26" max="26" width="11.28515625" style="113" hidden="1" customWidth="1"/>
    <col min="27" max="16384" width="9.140625" style="94"/>
  </cols>
  <sheetData>
    <row r="1" spans="1:27" ht="15.75" thickBot="1" x14ac:dyDescent="0.3">
      <c r="A1" s="107"/>
      <c r="B1" s="107"/>
      <c r="C1" s="107"/>
      <c r="D1" s="107"/>
      <c r="E1" s="107"/>
      <c r="F1" s="107"/>
      <c r="G1" s="144" t="s">
        <v>270</v>
      </c>
      <c r="H1" s="146"/>
      <c r="I1" s="146"/>
      <c r="J1" s="146"/>
      <c r="K1" s="146"/>
      <c r="L1" s="146"/>
      <c r="M1" s="146"/>
      <c r="N1" s="110"/>
      <c r="O1" s="111"/>
      <c r="Q1" s="110"/>
      <c r="R1" s="112"/>
    </row>
    <row r="2" spans="1:27" ht="16.5" thickBot="1" x14ac:dyDescent="0.35">
      <c r="A2" s="114"/>
      <c r="B2" s="114"/>
      <c r="C2" s="114"/>
      <c r="D2" s="114"/>
      <c r="E2" s="114"/>
      <c r="F2" s="114"/>
      <c r="G2" s="114"/>
      <c r="H2" s="115" t="s">
        <v>239</v>
      </c>
      <c r="I2" s="116"/>
      <c r="J2" s="116"/>
      <c r="K2" s="116"/>
      <c r="L2" s="117"/>
      <c r="M2" s="115" t="str">
        <f>'Master Input Tab'!$B$2&amp;" Budget"</f>
        <v>2014 Budget</v>
      </c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</row>
    <row r="3" spans="1:27" x14ac:dyDescent="0.25">
      <c r="A3" s="107"/>
      <c r="B3" s="107"/>
      <c r="C3" s="107"/>
      <c r="D3" s="107"/>
      <c r="E3" s="107"/>
      <c r="F3" s="107"/>
      <c r="G3" s="107"/>
      <c r="H3" s="118"/>
      <c r="I3" s="118"/>
      <c r="J3" s="118"/>
      <c r="K3" s="118"/>
      <c r="L3" s="118"/>
    </row>
    <row r="4" spans="1:27" ht="15.75" thickBot="1" x14ac:dyDescent="0.3">
      <c r="A4" s="107"/>
      <c r="B4" s="107"/>
      <c r="D4" s="107"/>
      <c r="E4" s="107"/>
      <c r="F4" s="107"/>
      <c r="G4" s="107"/>
      <c r="H4" s="102" t="str">
        <f>'Total Summary'!H4</f>
        <v>2014</v>
      </c>
      <c r="I4" s="102">
        <f>'Total Summary'!I4</f>
        <v>2015</v>
      </c>
      <c r="J4" s="102">
        <f>'Total Summary'!J4</f>
        <v>2016</v>
      </c>
      <c r="K4" s="102">
        <f>'Total Summary'!K4</f>
        <v>2017</v>
      </c>
      <c r="L4" s="102">
        <f>'Total Summary'!L4</f>
        <v>2018</v>
      </c>
      <c r="M4" s="121" t="s">
        <v>120</v>
      </c>
      <c r="N4" s="121" t="s">
        <v>121</v>
      </c>
      <c r="O4" s="121" t="s">
        <v>122</v>
      </c>
      <c r="P4" s="121" t="s">
        <v>129</v>
      </c>
      <c r="Q4" s="121" t="s">
        <v>130</v>
      </c>
      <c r="R4" s="121" t="s">
        <v>31</v>
      </c>
      <c r="S4" s="121" t="s">
        <v>24</v>
      </c>
      <c r="T4" s="121" t="s">
        <v>26</v>
      </c>
      <c r="U4" s="121" t="s">
        <v>27</v>
      </c>
      <c r="V4" s="121" t="s">
        <v>25</v>
      </c>
      <c r="W4" s="121" t="s">
        <v>28</v>
      </c>
      <c r="X4" s="121" t="s">
        <v>29</v>
      </c>
      <c r="Y4" s="122">
        <f>'Master Input Tab'!$B$2</f>
        <v>2014</v>
      </c>
      <c r="Z4" s="123" t="s">
        <v>131</v>
      </c>
      <c r="AA4" s="145"/>
    </row>
    <row r="5" spans="1:27" ht="16.5" customHeight="1" x14ac:dyDescent="0.25">
      <c r="A5" s="107"/>
      <c r="B5" s="107"/>
      <c r="C5" s="107" t="s">
        <v>138</v>
      </c>
      <c r="D5" s="107"/>
      <c r="E5" s="107"/>
      <c r="F5" s="107"/>
      <c r="G5" s="107"/>
      <c r="H5" s="125"/>
      <c r="I5" s="125"/>
      <c r="J5" s="125"/>
      <c r="K5" s="125"/>
      <c r="L5" s="125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7"/>
      <c r="Z5" s="128"/>
    </row>
    <row r="6" spans="1:27" x14ac:dyDescent="0.25">
      <c r="A6" s="107"/>
      <c r="B6" s="107"/>
      <c r="C6" s="107"/>
      <c r="E6" s="107"/>
      <c r="F6" s="107" t="s">
        <v>139</v>
      </c>
      <c r="G6" s="107"/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0</v>
      </c>
      <c r="W6" s="118">
        <v>0</v>
      </c>
      <c r="X6" s="118">
        <v>0</v>
      </c>
      <c r="Y6" s="130">
        <f>SUM(M6:X6)</f>
        <v>0</v>
      </c>
      <c r="Z6" s="113">
        <f>ROUND(Y6-H6,0)</f>
        <v>0</v>
      </c>
    </row>
    <row r="7" spans="1:27" x14ac:dyDescent="0.25">
      <c r="A7" s="107"/>
      <c r="B7" s="107"/>
      <c r="C7" s="107"/>
      <c r="E7" s="107"/>
      <c r="F7" s="107" t="s">
        <v>140</v>
      </c>
      <c r="G7" s="107"/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0</v>
      </c>
      <c r="W7" s="118">
        <v>0</v>
      </c>
      <c r="X7" s="118">
        <v>0</v>
      </c>
      <c r="Y7" s="130">
        <f t="shared" ref="Y7:Y70" si="0">SUM(M7:X7)</f>
        <v>0</v>
      </c>
      <c r="Z7" s="113">
        <f t="shared" ref="Z7:Z26" si="1">ROUND(Y7-H7,0)</f>
        <v>0</v>
      </c>
    </row>
    <row r="8" spans="1:27" x14ac:dyDescent="0.25">
      <c r="A8" s="107"/>
      <c r="B8" s="107"/>
      <c r="C8" s="107"/>
      <c r="E8" s="107"/>
      <c r="F8" s="107" t="s">
        <v>141</v>
      </c>
      <c r="G8" s="107"/>
      <c r="H8" s="118">
        <f>Revenue!M6</f>
        <v>52306.157399999996</v>
      </c>
      <c r="I8" s="118">
        <f>Revenue!N6</f>
        <v>53090.749760999992</v>
      </c>
      <c r="J8" s="118">
        <f>Revenue!O6</f>
        <v>53887.111007414984</v>
      </c>
      <c r="K8" s="118">
        <f>Revenue!P6</f>
        <v>54695.4176725262</v>
      </c>
      <c r="L8" s="118">
        <f>Revenue!Q6</f>
        <v>55515.848937614086</v>
      </c>
      <c r="M8" s="118">
        <f>Revenue!C32</f>
        <v>0</v>
      </c>
      <c r="N8" s="118">
        <f>Revenue!D32</f>
        <v>0</v>
      </c>
      <c r="O8" s="118">
        <f>Revenue!E32</f>
        <v>0</v>
      </c>
      <c r="P8" s="118">
        <f>Revenue!F32</f>
        <v>0</v>
      </c>
      <c r="Q8" s="118">
        <f>Revenue!G32</f>
        <v>0</v>
      </c>
      <c r="R8" s="118">
        <f>Revenue!H32</f>
        <v>0</v>
      </c>
      <c r="S8" s="118">
        <f>Revenue!I32</f>
        <v>52306.157399999996</v>
      </c>
      <c r="T8" s="118">
        <f>Revenue!J32</f>
        <v>0</v>
      </c>
      <c r="U8" s="118">
        <f>Revenue!K32</f>
        <v>0</v>
      </c>
      <c r="V8" s="118">
        <f>Revenue!L32</f>
        <v>0</v>
      </c>
      <c r="W8" s="118">
        <f>Revenue!M32</f>
        <v>0</v>
      </c>
      <c r="X8" s="118">
        <f>Revenue!N32</f>
        <v>0</v>
      </c>
      <c r="Y8" s="130">
        <f t="shared" si="0"/>
        <v>52306.157399999996</v>
      </c>
      <c r="Z8" s="113">
        <f t="shared" si="1"/>
        <v>0</v>
      </c>
    </row>
    <row r="9" spans="1:27" x14ac:dyDescent="0.25">
      <c r="A9" s="107"/>
      <c r="B9" s="107"/>
      <c r="C9" s="107"/>
      <c r="E9" s="107"/>
      <c r="F9" s="107" t="s">
        <v>142</v>
      </c>
      <c r="G9" s="107"/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118">
        <v>0</v>
      </c>
      <c r="T9" s="118">
        <v>0</v>
      </c>
      <c r="U9" s="118">
        <v>0</v>
      </c>
      <c r="V9" s="118">
        <v>0</v>
      </c>
      <c r="W9" s="118">
        <v>0</v>
      </c>
      <c r="X9" s="118">
        <v>0</v>
      </c>
      <c r="Y9" s="130">
        <f t="shared" si="0"/>
        <v>0</v>
      </c>
      <c r="Z9" s="113">
        <f t="shared" si="1"/>
        <v>0</v>
      </c>
    </row>
    <row r="10" spans="1:27" x14ac:dyDescent="0.25">
      <c r="A10" s="107"/>
      <c r="B10" s="107"/>
      <c r="C10" s="107"/>
      <c r="E10" s="107"/>
      <c r="F10" s="107" t="s">
        <v>143</v>
      </c>
      <c r="G10" s="107"/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v>0</v>
      </c>
      <c r="W10" s="118">
        <v>0</v>
      </c>
      <c r="X10" s="118">
        <v>0</v>
      </c>
      <c r="Y10" s="130">
        <f t="shared" si="0"/>
        <v>0</v>
      </c>
      <c r="Z10" s="113">
        <f t="shared" si="1"/>
        <v>0</v>
      </c>
    </row>
    <row r="11" spans="1:27" x14ac:dyDescent="0.25">
      <c r="A11" s="107"/>
      <c r="B11" s="107"/>
      <c r="C11" s="107"/>
      <c r="E11" s="107"/>
      <c r="F11" s="107" t="s">
        <v>144</v>
      </c>
      <c r="G11" s="107"/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118">
        <v>0</v>
      </c>
      <c r="Y11" s="130">
        <f t="shared" si="0"/>
        <v>0</v>
      </c>
      <c r="Z11" s="113">
        <f t="shared" si="1"/>
        <v>0</v>
      </c>
    </row>
    <row r="12" spans="1:27" x14ac:dyDescent="0.25">
      <c r="A12" s="107"/>
      <c r="B12" s="107"/>
      <c r="C12" s="107"/>
      <c r="E12" s="107"/>
      <c r="F12" s="107" t="s">
        <v>145</v>
      </c>
      <c r="G12" s="107"/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30">
        <f t="shared" si="0"/>
        <v>0</v>
      </c>
      <c r="Z12" s="113">
        <f t="shared" si="1"/>
        <v>0</v>
      </c>
    </row>
    <row r="13" spans="1:27" x14ac:dyDescent="0.25">
      <c r="A13" s="107"/>
      <c r="B13" s="107"/>
      <c r="C13" s="107"/>
      <c r="E13" s="107"/>
      <c r="F13" s="107" t="s">
        <v>146</v>
      </c>
      <c r="G13" s="107"/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30">
        <f t="shared" si="0"/>
        <v>0</v>
      </c>
      <c r="Z13" s="113">
        <f t="shared" si="1"/>
        <v>0</v>
      </c>
    </row>
    <row r="14" spans="1:27" x14ac:dyDescent="0.25">
      <c r="A14" s="107"/>
      <c r="B14" s="107"/>
      <c r="C14" s="107"/>
      <c r="E14" s="107"/>
      <c r="F14" s="107" t="s">
        <v>147</v>
      </c>
      <c r="G14" s="107"/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30">
        <f t="shared" si="0"/>
        <v>0</v>
      </c>
      <c r="Z14" s="113">
        <f t="shared" si="1"/>
        <v>0</v>
      </c>
    </row>
    <row r="15" spans="1:27" x14ac:dyDescent="0.25">
      <c r="A15" s="107"/>
      <c r="B15" s="107"/>
      <c r="C15" s="107"/>
      <c r="E15" s="107"/>
      <c r="F15" s="107" t="s">
        <v>148</v>
      </c>
      <c r="G15" s="107"/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30">
        <f t="shared" si="0"/>
        <v>0</v>
      </c>
      <c r="Z15" s="113">
        <f t="shared" si="1"/>
        <v>0</v>
      </c>
    </row>
    <row r="16" spans="1:27" x14ac:dyDescent="0.25">
      <c r="A16" s="107"/>
      <c r="B16" s="107"/>
      <c r="C16" s="107"/>
      <c r="E16" s="107"/>
      <c r="F16" s="107" t="s">
        <v>149</v>
      </c>
      <c r="G16" s="107"/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30">
        <f t="shared" si="0"/>
        <v>0</v>
      </c>
      <c r="Z16" s="113">
        <f t="shared" si="1"/>
        <v>0</v>
      </c>
    </row>
    <row r="17" spans="1:26" x14ac:dyDescent="0.25">
      <c r="A17" s="107"/>
      <c r="B17" s="107"/>
      <c r="C17" s="107"/>
      <c r="E17" s="107"/>
      <c r="F17" s="107" t="s">
        <v>150</v>
      </c>
      <c r="G17" s="107"/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30">
        <f t="shared" si="0"/>
        <v>0</v>
      </c>
      <c r="Z17" s="113">
        <f t="shared" si="1"/>
        <v>0</v>
      </c>
    </row>
    <row r="18" spans="1:26" x14ac:dyDescent="0.25">
      <c r="A18" s="107"/>
      <c r="B18" s="107"/>
      <c r="C18" s="107"/>
      <c r="E18" s="107"/>
      <c r="F18" s="107" t="s">
        <v>151</v>
      </c>
      <c r="G18" s="107"/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30">
        <f t="shared" si="0"/>
        <v>0</v>
      </c>
      <c r="Z18" s="113">
        <f t="shared" si="1"/>
        <v>0</v>
      </c>
    </row>
    <row r="19" spans="1:26" x14ac:dyDescent="0.25">
      <c r="A19" s="107"/>
      <c r="B19" s="107"/>
      <c r="C19" s="107"/>
      <c r="E19" s="107"/>
      <c r="F19" s="107" t="s">
        <v>152</v>
      </c>
      <c r="G19" s="107"/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30">
        <f t="shared" si="0"/>
        <v>0</v>
      </c>
      <c r="Z19" s="113">
        <f t="shared" si="1"/>
        <v>0</v>
      </c>
    </row>
    <row r="20" spans="1:26" x14ac:dyDescent="0.25">
      <c r="A20" s="107"/>
      <c r="B20" s="107"/>
      <c r="C20" s="107"/>
      <c r="E20" s="107"/>
      <c r="F20" s="107" t="s">
        <v>153</v>
      </c>
      <c r="G20" s="107"/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30">
        <f t="shared" si="0"/>
        <v>0</v>
      </c>
      <c r="Z20" s="113">
        <f t="shared" si="1"/>
        <v>0</v>
      </c>
    </row>
    <row r="21" spans="1:26" x14ac:dyDescent="0.25">
      <c r="A21" s="107"/>
      <c r="B21" s="107"/>
      <c r="C21" s="107"/>
      <c r="E21" s="107"/>
      <c r="F21" s="107" t="s">
        <v>154</v>
      </c>
      <c r="G21" s="107"/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30">
        <f t="shared" si="0"/>
        <v>0</v>
      </c>
      <c r="Z21" s="113">
        <f t="shared" si="1"/>
        <v>0</v>
      </c>
    </row>
    <row r="22" spans="1:26" x14ac:dyDescent="0.25">
      <c r="A22" s="107"/>
      <c r="B22" s="107"/>
      <c r="C22" s="107"/>
      <c r="E22" s="107"/>
      <c r="F22" s="107" t="s">
        <v>155</v>
      </c>
      <c r="G22" s="107"/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  <c r="U22" s="118">
        <v>0</v>
      </c>
      <c r="V22" s="118">
        <v>0</v>
      </c>
      <c r="W22" s="118">
        <v>0</v>
      </c>
      <c r="X22" s="118">
        <v>0</v>
      </c>
      <c r="Y22" s="130">
        <f t="shared" si="0"/>
        <v>0</v>
      </c>
      <c r="Z22" s="113">
        <f t="shared" si="1"/>
        <v>0</v>
      </c>
    </row>
    <row r="23" spans="1:26" x14ac:dyDescent="0.25">
      <c r="A23" s="107"/>
      <c r="B23" s="107"/>
      <c r="C23" s="107"/>
      <c r="E23" s="107"/>
      <c r="F23" s="107" t="s">
        <v>156</v>
      </c>
      <c r="G23" s="107"/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30">
        <f t="shared" si="0"/>
        <v>0</v>
      </c>
      <c r="Z23" s="113">
        <f t="shared" si="1"/>
        <v>0</v>
      </c>
    </row>
    <row r="24" spans="1:26" ht="15.75" thickBot="1" x14ac:dyDescent="0.3">
      <c r="A24" s="107"/>
      <c r="B24" s="107"/>
      <c r="C24" s="107"/>
      <c r="E24" s="107"/>
      <c r="F24" s="107" t="s">
        <v>157</v>
      </c>
      <c r="G24" s="107"/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18">
        <v>0</v>
      </c>
      <c r="U24" s="118">
        <v>0</v>
      </c>
      <c r="V24" s="118">
        <v>0</v>
      </c>
      <c r="W24" s="118">
        <v>0</v>
      </c>
      <c r="X24" s="118">
        <v>0</v>
      </c>
      <c r="Y24" s="130">
        <f t="shared" si="0"/>
        <v>0</v>
      </c>
      <c r="Z24" s="113">
        <f t="shared" si="1"/>
        <v>0</v>
      </c>
    </row>
    <row r="25" spans="1:26" ht="15.75" thickBot="1" x14ac:dyDescent="0.3">
      <c r="A25" s="107"/>
      <c r="B25" s="107"/>
      <c r="C25" s="107" t="s">
        <v>158</v>
      </c>
      <c r="D25" s="107"/>
      <c r="E25" s="107"/>
      <c r="F25" s="107"/>
      <c r="G25" s="107"/>
      <c r="H25" s="131">
        <f>ROUND(SUM(H6:H24),5)</f>
        <v>52306.157399999996</v>
      </c>
      <c r="I25" s="131">
        <f t="shared" ref="I25:X25" si="2">ROUND(SUM(I6:I24),5)</f>
        <v>53090.749759999999</v>
      </c>
      <c r="J25" s="131">
        <f t="shared" si="2"/>
        <v>53887.111010000001</v>
      </c>
      <c r="K25" s="131">
        <f t="shared" si="2"/>
        <v>54695.417670000003</v>
      </c>
      <c r="L25" s="131">
        <f t="shared" si="2"/>
        <v>55515.848940000003</v>
      </c>
      <c r="M25" s="131">
        <f t="shared" si="2"/>
        <v>0</v>
      </c>
      <c r="N25" s="131">
        <f t="shared" si="2"/>
        <v>0</v>
      </c>
      <c r="O25" s="131">
        <f t="shared" si="2"/>
        <v>0</v>
      </c>
      <c r="P25" s="131">
        <f t="shared" si="2"/>
        <v>0</v>
      </c>
      <c r="Q25" s="131">
        <f t="shared" si="2"/>
        <v>0</v>
      </c>
      <c r="R25" s="131">
        <f t="shared" si="2"/>
        <v>0</v>
      </c>
      <c r="S25" s="131">
        <f t="shared" si="2"/>
        <v>52306.157399999996</v>
      </c>
      <c r="T25" s="131">
        <f t="shared" si="2"/>
        <v>0</v>
      </c>
      <c r="U25" s="131">
        <f t="shared" si="2"/>
        <v>0</v>
      </c>
      <c r="V25" s="131">
        <f t="shared" si="2"/>
        <v>0</v>
      </c>
      <c r="W25" s="131">
        <f t="shared" si="2"/>
        <v>0</v>
      </c>
      <c r="X25" s="131">
        <f t="shared" si="2"/>
        <v>0</v>
      </c>
      <c r="Y25" s="131">
        <f>ROUND(SUM(Y6:Y24),5)</f>
        <v>52306.157399999996</v>
      </c>
      <c r="Z25" s="113">
        <f t="shared" si="1"/>
        <v>0</v>
      </c>
    </row>
    <row r="26" spans="1:26" x14ac:dyDescent="0.25">
      <c r="A26" s="107"/>
      <c r="B26" s="107" t="s">
        <v>159</v>
      </c>
      <c r="C26" s="107"/>
      <c r="D26" s="107"/>
      <c r="E26" s="107"/>
      <c r="F26" s="107"/>
      <c r="G26" s="107"/>
      <c r="H26" s="118">
        <f>H25</f>
        <v>52306.157399999996</v>
      </c>
      <c r="I26" s="118">
        <f t="shared" ref="I26:X26" si="3">I25</f>
        <v>53090.749759999999</v>
      </c>
      <c r="J26" s="118">
        <f t="shared" si="3"/>
        <v>53887.111010000001</v>
      </c>
      <c r="K26" s="118">
        <f t="shared" si="3"/>
        <v>54695.417670000003</v>
      </c>
      <c r="L26" s="118">
        <f t="shared" si="3"/>
        <v>55515.848940000003</v>
      </c>
      <c r="M26" s="118">
        <f t="shared" si="3"/>
        <v>0</v>
      </c>
      <c r="N26" s="118">
        <f t="shared" si="3"/>
        <v>0</v>
      </c>
      <c r="O26" s="118">
        <f t="shared" si="3"/>
        <v>0</v>
      </c>
      <c r="P26" s="118">
        <f t="shared" si="3"/>
        <v>0</v>
      </c>
      <c r="Q26" s="118">
        <f t="shared" si="3"/>
        <v>0</v>
      </c>
      <c r="R26" s="118">
        <f t="shared" si="3"/>
        <v>0</v>
      </c>
      <c r="S26" s="118">
        <f t="shared" si="3"/>
        <v>52306.157399999996</v>
      </c>
      <c r="T26" s="118">
        <f t="shared" si="3"/>
        <v>0</v>
      </c>
      <c r="U26" s="118">
        <f t="shared" si="3"/>
        <v>0</v>
      </c>
      <c r="V26" s="118">
        <f t="shared" si="3"/>
        <v>0</v>
      </c>
      <c r="W26" s="118">
        <f t="shared" si="3"/>
        <v>0</v>
      </c>
      <c r="X26" s="118">
        <f t="shared" si="3"/>
        <v>0</v>
      </c>
      <c r="Y26" s="130">
        <f t="shared" si="0"/>
        <v>52306.157399999996</v>
      </c>
      <c r="Z26" s="113">
        <f t="shared" si="1"/>
        <v>0</v>
      </c>
    </row>
    <row r="27" spans="1:26" hidden="1" x14ac:dyDescent="0.25">
      <c r="A27" s="107"/>
      <c r="B27" s="107"/>
      <c r="C27" s="107" t="s">
        <v>160</v>
      </c>
      <c r="D27" s="107"/>
      <c r="E27" s="107"/>
      <c r="F27" s="107"/>
      <c r="G27" s="107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30"/>
    </row>
    <row r="28" spans="1:26" hidden="1" x14ac:dyDescent="0.25">
      <c r="A28" s="107"/>
      <c r="B28" s="107"/>
      <c r="C28" s="107"/>
      <c r="D28" s="107" t="s">
        <v>160</v>
      </c>
      <c r="E28" s="107"/>
      <c r="F28" s="107"/>
      <c r="G28" s="107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30"/>
    </row>
    <row r="29" spans="1:26" hidden="1" x14ac:dyDescent="0.25">
      <c r="A29" s="107"/>
      <c r="B29" s="107"/>
      <c r="C29" s="107"/>
      <c r="D29" s="107"/>
      <c r="E29" s="107" t="s">
        <v>111</v>
      </c>
      <c r="F29" s="107"/>
      <c r="G29" s="107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30"/>
    </row>
    <row r="30" spans="1:26" hidden="1" x14ac:dyDescent="0.25">
      <c r="A30" s="107"/>
      <c r="B30" s="107"/>
      <c r="C30" s="107"/>
      <c r="D30" s="107"/>
      <c r="E30" s="107"/>
      <c r="F30" s="132" t="s">
        <v>112</v>
      </c>
      <c r="G30" s="107"/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0">
        <f t="shared" si="0"/>
        <v>0</v>
      </c>
      <c r="Z30" s="113">
        <f t="shared" ref="Z30:Z37" si="4">ROUND(Y30-H30,0)</f>
        <v>0</v>
      </c>
    </row>
    <row r="31" spans="1:26" hidden="1" x14ac:dyDescent="0.25">
      <c r="A31" s="107"/>
      <c r="B31" s="107"/>
      <c r="C31" s="107"/>
      <c r="D31" s="107"/>
      <c r="E31" s="107"/>
      <c r="F31" s="132" t="s">
        <v>113</v>
      </c>
      <c r="G31" s="107"/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0">
        <f t="shared" si="0"/>
        <v>0</v>
      </c>
      <c r="Z31" s="113">
        <f t="shared" si="4"/>
        <v>0</v>
      </c>
    </row>
    <row r="32" spans="1:26" hidden="1" x14ac:dyDescent="0.25">
      <c r="A32" s="107"/>
      <c r="B32" s="107"/>
      <c r="C32" s="107"/>
      <c r="D32" s="107"/>
      <c r="E32" s="107"/>
      <c r="F32" s="132" t="s">
        <v>114</v>
      </c>
      <c r="G32" s="107"/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0">
        <f t="shared" si="0"/>
        <v>0</v>
      </c>
      <c r="Z32" s="113">
        <f t="shared" si="4"/>
        <v>0</v>
      </c>
    </row>
    <row r="33" spans="1:26" hidden="1" x14ac:dyDescent="0.25">
      <c r="A33" s="107"/>
      <c r="B33" s="107"/>
      <c r="C33" s="107"/>
      <c r="D33" s="107"/>
      <c r="E33" s="107"/>
      <c r="F33" s="132" t="s">
        <v>115</v>
      </c>
      <c r="G33" s="107"/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0">
        <f t="shared" si="0"/>
        <v>0</v>
      </c>
      <c r="Z33" s="113">
        <f t="shared" si="4"/>
        <v>0</v>
      </c>
    </row>
    <row r="34" spans="1:26" hidden="1" x14ac:dyDescent="0.25">
      <c r="A34" s="107"/>
      <c r="B34" s="107"/>
      <c r="C34" s="107"/>
      <c r="D34" s="107"/>
      <c r="E34" s="107"/>
      <c r="F34" s="132" t="s">
        <v>116</v>
      </c>
      <c r="G34" s="107"/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0</v>
      </c>
      <c r="Y34" s="130">
        <f t="shared" si="0"/>
        <v>0</v>
      </c>
      <c r="Z34" s="113">
        <f t="shared" si="4"/>
        <v>0</v>
      </c>
    </row>
    <row r="35" spans="1:26" hidden="1" x14ac:dyDescent="0.25">
      <c r="A35" s="107"/>
      <c r="B35" s="107"/>
      <c r="C35" s="107"/>
      <c r="D35" s="107"/>
      <c r="E35" s="107"/>
      <c r="F35" s="132" t="s">
        <v>117</v>
      </c>
      <c r="G35" s="107"/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0">
        <f t="shared" si="0"/>
        <v>0</v>
      </c>
      <c r="Z35" s="113">
        <f t="shared" si="4"/>
        <v>0</v>
      </c>
    </row>
    <row r="36" spans="1:26" ht="15.75" hidden="1" thickBot="1" x14ac:dyDescent="0.3">
      <c r="A36" s="107"/>
      <c r="B36" s="107"/>
      <c r="C36" s="107"/>
      <c r="D36" s="107"/>
      <c r="E36" s="107"/>
      <c r="F36" s="132" t="s">
        <v>118</v>
      </c>
      <c r="G36" s="107"/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5">
        <f t="shared" si="0"/>
        <v>0</v>
      </c>
      <c r="Z36" s="113">
        <f t="shared" si="4"/>
        <v>0</v>
      </c>
    </row>
    <row r="37" spans="1:26" hidden="1" x14ac:dyDescent="0.25">
      <c r="A37" s="107"/>
      <c r="B37" s="107"/>
      <c r="C37" s="107"/>
      <c r="D37" s="107"/>
      <c r="E37" s="107" t="s">
        <v>119</v>
      </c>
      <c r="F37" s="107"/>
      <c r="G37" s="107"/>
      <c r="H37" s="118">
        <f>ROUND(SUM(H30:H36),5)</f>
        <v>0</v>
      </c>
      <c r="I37" s="118">
        <f t="shared" ref="I37:X37" si="5">ROUND(SUM(I30:I36),5)</f>
        <v>0</v>
      </c>
      <c r="J37" s="118">
        <f t="shared" si="5"/>
        <v>0</v>
      </c>
      <c r="K37" s="118">
        <f t="shared" si="5"/>
        <v>0</v>
      </c>
      <c r="L37" s="118">
        <f t="shared" si="5"/>
        <v>0</v>
      </c>
      <c r="M37" s="118">
        <f t="shared" si="5"/>
        <v>0</v>
      </c>
      <c r="N37" s="118">
        <f t="shared" si="5"/>
        <v>0</v>
      </c>
      <c r="O37" s="118">
        <f t="shared" si="5"/>
        <v>0</v>
      </c>
      <c r="P37" s="118">
        <f t="shared" si="5"/>
        <v>0</v>
      </c>
      <c r="Q37" s="118">
        <f t="shared" si="5"/>
        <v>0</v>
      </c>
      <c r="R37" s="118">
        <f t="shared" si="5"/>
        <v>0</v>
      </c>
      <c r="S37" s="118">
        <f t="shared" si="5"/>
        <v>0</v>
      </c>
      <c r="T37" s="118">
        <f t="shared" si="5"/>
        <v>0</v>
      </c>
      <c r="U37" s="118">
        <f t="shared" si="5"/>
        <v>0</v>
      </c>
      <c r="V37" s="118">
        <f t="shared" si="5"/>
        <v>0</v>
      </c>
      <c r="W37" s="118">
        <f t="shared" si="5"/>
        <v>0</v>
      </c>
      <c r="X37" s="118">
        <f t="shared" si="5"/>
        <v>0</v>
      </c>
      <c r="Y37" s="118">
        <f>ROUND(SUM(Y29:Y36),5)</f>
        <v>0</v>
      </c>
      <c r="Z37" s="113">
        <f t="shared" si="4"/>
        <v>0</v>
      </c>
    </row>
    <row r="38" spans="1:26" hidden="1" x14ac:dyDescent="0.25">
      <c r="A38" s="107"/>
      <c r="B38" s="107"/>
      <c r="C38" s="107"/>
      <c r="D38" s="107"/>
      <c r="E38" s="107" t="s">
        <v>0</v>
      </c>
      <c r="F38" s="107"/>
      <c r="G38" s="107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30"/>
    </row>
    <row r="39" spans="1:26" hidden="1" x14ac:dyDescent="0.25">
      <c r="A39" s="107"/>
      <c r="B39" s="107"/>
      <c r="C39" s="107"/>
      <c r="D39" s="107"/>
      <c r="E39" s="107"/>
      <c r="F39" s="132" t="s">
        <v>1</v>
      </c>
      <c r="G39" s="107"/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18">
        <v>0</v>
      </c>
      <c r="N39" s="118">
        <v>0</v>
      </c>
      <c r="O39" s="118">
        <v>0</v>
      </c>
      <c r="P39" s="118">
        <v>0</v>
      </c>
      <c r="Q39" s="118">
        <v>0</v>
      </c>
      <c r="R39" s="118">
        <v>0</v>
      </c>
      <c r="S39" s="118">
        <v>0</v>
      </c>
      <c r="T39" s="118">
        <v>0</v>
      </c>
      <c r="U39" s="118">
        <v>0</v>
      </c>
      <c r="V39" s="118">
        <v>0</v>
      </c>
      <c r="W39" s="118">
        <v>0</v>
      </c>
      <c r="X39" s="118">
        <v>0</v>
      </c>
      <c r="Y39" s="130">
        <f t="shared" si="0"/>
        <v>0</v>
      </c>
      <c r="Z39" s="113">
        <f t="shared" ref="Z39:Z61" si="6">ROUND(Y39-H39,0)</f>
        <v>0</v>
      </c>
    </row>
    <row r="40" spans="1:26" hidden="1" x14ac:dyDescent="0.25">
      <c r="A40" s="107"/>
      <c r="B40" s="107"/>
      <c r="C40" s="107"/>
      <c r="D40" s="107"/>
      <c r="E40" s="107"/>
      <c r="F40" s="132" t="s">
        <v>2</v>
      </c>
      <c r="G40" s="107"/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18">
        <v>0</v>
      </c>
      <c r="N40" s="118">
        <v>0</v>
      </c>
      <c r="O40" s="118">
        <v>0</v>
      </c>
      <c r="P40" s="118">
        <v>0</v>
      </c>
      <c r="Q40" s="118">
        <v>0</v>
      </c>
      <c r="R40" s="118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18">
        <v>0</v>
      </c>
      <c r="Y40" s="130">
        <f t="shared" si="0"/>
        <v>0</v>
      </c>
      <c r="Z40" s="113">
        <f t="shared" si="6"/>
        <v>0</v>
      </c>
    </row>
    <row r="41" spans="1:26" hidden="1" x14ac:dyDescent="0.25">
      <c r="A41" s="107"/>
      <c r="B41" s="107"/>
      <c r="C41" s="107"/>
      <c r="D41" s="107"/>
      <c r="E41" s="107"/>
      <c r="F41" s="132" t="s">
        <v>3</v>
      </c>
      <c r="G41" s="107"/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30">
        <f t="shared" si="0"/>
        <v>0</v>
      </c>
      <c r="Z41" s="113">
        <f t="shared" si="6"/>
        <v>0</v>
      </c>
    </row>
    <row r="42" spans="1:26" hidden="1" x14ac:dyDescent="0.25">
      <c r="A42" s="107"/>
      <c r="B42" s="107"/>
      <c r="C42" s="107"/>
      <c r="D42" s="107"/>
      <c r="E42" s="107"/>
      <c r="F42" s="132" t="s">
        <v>4</v>
      </c>
      <c r="G42" s="107"/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18">
        <v>0</v>
      </c>
      <c r="N42" s="118">
        <v>0</v>
      </c>
      <c r="O42" s="118">
        <v>0</v>
      </c>
      <c r="P42" s="118">
        <v>0</v>
      </c>
      <c r="Q42" s="118">
        <v>0</v>
      </c>
      <c r="R42" s="118">
        <v>0</v>
      </c>
      <c r="S42" s="118">
        <v>0</v>
      </c>
      <c r="T42" s="118">
        <v>0</v>
      </c>
      <c r="U42" s="118">
        <v>0</v>
      </c>
      <c r="V42" s="118">
        <v>0</v>
      </c>
      <c r="W42" s="118">
        <v>0</v>
      </c>
      <c r="X42" s="118">
        <v>0</v>
      </c>
      <c r="Y42" s="130">
        <f t="shared" si="0"/>
        <v>0</v>
      </c>
      <c r="Z42" s="113">
        <f t="shared" si="6"/>
        <v>0</v>
      </c>
    </row>
    <row r="43" spans="1:26" hidden="1" x14ac:dyDescent="0.25">
      <c r="A43" s="107"/>
      <c r="B43" s="107"/>
      <c r="C43" s="107"/>
      <c r="D43" s="107"/>
      <c r="E43" s="107"/>
      <c r="F43" s="132" t="s">
        <v>5</v>
      </c>
      <c r="G43" s="107"/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18">
        <v>0</v>
      </c>
      <c r="N43" s="118">
        <v>0</v>
      </c>
      <c r="O43" s="118">
        <v>0</v>
      </c>
      <c r="P43" s="118">
        <v>0</v>
      </c>
      <c r="Q43" s="118">
        <v>0</v>
      </c>
      <c r="R43" s="118">
        <v>0</v>
      </c>
      <c r="S43" s="118">
        <v>0</v>
      </c>
      <c r="T43" s="118">
        <v>0</v>
      </c>
      <c r="U43" s="118">
        <v>0</v>
      </c>
      <c r="V43" s="118">
        <v>0</v>
      </c>
      <c r="W43" s="118">
        <v>0</v>
      </c>
      <c r="X43" s="118">
        <v>0</v>
      </c>
      <c r="Y43" s="130">
        <f t="shared" si="0"/>
        <v>0</v>
      </c>
      <c r="Z43" s="113">
        <f t="shared" si="6"/>
        <v>0</v>
      </c>
    </row>
    <row r="44" spans="1:26" hidden="1" x14ac:dyDescent="0.25">
      <c r="A44" s="107"/>
      <c r="B44" s="107"/>
      <c r="C44" s="107"/>
      <c r="D44" s="107"/>
      <c r="E44" s="107"/>
      <c r="F44" s="132" t="s">
        <v>6</v>
      </c>
      <c r="G44" s="107"/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18">
        <v>0</v>
      </c>
      <c r="Y44" s="130">
        <f t="shared" si="0"/>
        <v>0</v>
      </c>
      <c r="Z44" s="113">
        <f t="shared" si="6"/>
        <v>0</v>
      </c>
    </row>
    <row r="45" spans="1:26" hidden="1" x14ac:dyDescent="0.25">
      <c r="A45" s="107"/>
      <c r="B45" s="107"/>
      <c r="C45" s="107"/>
      <c r="D45" s="107"/>
      <c r="E45" s="107"/>
      <c r="F45" s="132" t="s">
        <v>7</v>
      </c>
      <c r="G45" s="107"/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18">
        <v>0</v>
      </c>
      <c r="N45" s="118">
        <v>0</v>
      </c>
      <c r="O45" s="118">
        <v>0</v>
      </c>
      <c r="P45" s="118">
        <v>0</v>
      </c>
      <c r="Q45" s="118">
        <v>0</v>
      </c>
      <c r="R45" s="118">
        <v>0</v>
      </c>
      <c r="S45" s="118">
        <v>0</v>
      </c>
      <c r="T45" s="118">
        <v>0</v>
      </c>
      <c r="U45" s="118">
        <v>0</v>
      </c>
      <c r="V45" s="118">
        <v>0</v>
      </c>
      <c r="W45" s="118">
        <v>0</v>
      </c>
      <c r="X45" s="118">
        <v>0</v>
      </c>
      <c r="Y45" s="130">
        <f t="shared" si="0"/>
        <v>0</v>
      </c>
      <c r="Z45" s="113">
        <f t="shared" si="6"/>
        <v>0</v>
      </c>
    </row>
    <row r="46" spans="1:26" hidden="1" x14ac:dyDescent="0.25">
      <c r="A46" s="107"/>
      <c r="B46" s="107"/>
      <c r="C46" s="107"/>
      <c r="D46" s="107"/>
      <c r="E46" s="107"/>
      <c r="F46" s="132" t="s">
        <v>8</v>
      </c>
      <c r="G46" s="107"/>
      <c r="H46" s="133">
        <v>0</v>
      </c>
      <c r="I46" s="133">
        <v>0</v>
      </c>
      <c r="J46" s="133">
        <v>0</v>
      </c>
      <c r="K46" s="133">
        <v>0</v>
      </c>
      <c r="L46" s="133">
        <v>0</v>
      </c>
      <c r="M46" s="118">
        <v>0</v>
      </c>
      <c r="N46" s="118">
        <v>0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118">
        <v>0</v>
      </c>
      <c r="U46" s="118">
        <v>0</v>
      </c>
      <c r="V46" s="118">
        <v>0</v>
      </c>
      <c r="W46" s="118">
        <v>0</v>
      </c>
      <c r="X46" s="118">
        <v>0</v>
      </c>
      <c r="Y46" s="130">
        <f t="shared" si="0"/>
        <v>0</v>
      </c>
      <c r="Z46" s="113">
        <f t="shared" si="6"/>
        <v>0</v>
      </c>
    </row>
    <row r="47" spans="1:26" hidden="1" x14ac:dyDescent="0.25">
      <c r="A47" s="107"/>
      <c r="B47" s="107"/>
      <c r="C47" s="107"/>
      <c r="D47" s="107"/>
      <c r="E47" s="107"/>
      <c r="F47" s="132" t="s">
        <v>9</v>
      </c>
      <c r="G47" s="107"/>
      <c r="H47" s="133">
        <v>0</v>
      </c>
      <c r="I47" s="133">
        <v>0</v>
      </c>
      <c r="J47" s="133">
        <v>0</v>
      </c>
      <c r="K47" s="133">
        <v>0</v>
      </c>
      <c r="L47" s="133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30">
        <f t="shared" si="0"/>
        <v>0</v>
      </c>
      <c r="Z47" s="113">
        <f t="shared" si="6"/>
        <v>0</v>
      </c>
    </row>
    <row r="48" spans="1:26" hidden="1" x14ac:dyDescent="0.25">
      <c r="A48" s="107"/>
      <c r="B48" s="107"/>
      <c r="C48" s="107"/>
      <c r="D48" s="107"/>
      <c r="E48" s="107"/>
      <c r="F48" s="132" t="s">
        <v>10</v>
      </c>
      <c r="G48" s="107"/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18">
        <v>0</v>
      </c>
      <c r="N48" s="118">
        <v>0</v>
      </c>
      <c r="O48" s="118">
        <v>0</v>
      </c>
      <c r="P48" s="118">
        <v>0</v>
      </c>
      <c r="Q48" s="118">
        <v>0</v>
      </c>
      <c r="R48" s="118">
        <v>0</v>
      </c>
      <c r="S48" s="118">
        <v>0</v>
      </c>
      <c r="T48" s="118">
        <v>0</v>
      </c>
      <c r="U48" s="118">
        <v>0</v>
      </c>
      <c r="V48" s="118">
        <v>0</v>
      </c>
      <c r="W48" s="118">
        <v>0</v>
      </c>
      <c r="X48" s="118">
        <v>0</v>
      </c>
      <c r="Y48" s="130">
        <f t="shared" si="0"/>
        <v>0</v>
      </c>
      <c r="Z48" s="113">
        <f t="shared" si="6"/>
        <v>0</v>
      </c>
    </row>
    <row r="49" spans="1:26" hidden="1" x14ac:dyDescent="0.25">
      <c r="A49" s="107"/>
      <c r="B49" s="107"/>
      <c r="C49" s="107"/>
      <c r="D49" s="107"/>
      <c r="E49" s="107"/>
      <c r="F49" s="132" t="s">
        <v>11</v>
      </c>
      <c r="G49" s="107"/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18">
        <v>0</v>
      </c>
      <c r="N49" s="118">
        <v>0</v>
      </c>
      <c r="O49" s="118">
        <v>0</v>
      </c>
      <c r="P49" s="118">
        <v>0</v>
      </c>
      <c r="Q49" s="118">
        <v>0</v>
      </c>
      <c r="R49" s="118">
        <v>0</v>
      </c>
      <c r="S49" s="118">
        <v>0</v>
      </c>
      <c r="T49" s="118">
        <v>0</v>
      </c>
      <c r="U49" s="118">
        <v>0</v>
      </c>
      <c r="V49" s="118">
        <v>0</v>
      </c>
      <c r="W49" s="118">
        <v>0</v>
      </c>
      <c r="X49" s="118">
        <v>0</v>
      </c>
      <c r="Y49" s="130">
        <f t="shared" si="0"/>
        <v>0</v>
      </c>
      <c r="Z49" s="113">
        <f t="shared" si="6"/>
        <v>0</v>
      </c>
    </row>
    <row r="50" spans="1:26" hidden="1" x14ac:dyDescent="0.25">
      <c r="A50" s="107"/>
      <c r="B50" s="107"/>
      <c r="C50" s="107"/>
      <c r="D50" s="107"/>
      <c r="E50" s="107"/>
      <c r="F50" s="132" t="s">
        <v>12</v>
      </c>
      <c r="G50" s="107"/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18">
        <v>0</v>
      </c>
      <c r="N50" s="118">
        <v>0</v>
      </c>
      <c r="O50" s="118">
        <v>0</v>
      </c>
      <c r="P50" s="118">
        <v>0</v>
      </c>
      <c r="Q50" s="118">
        <v>0</v>
      </c>
      <c r="R50" s="118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18">
        <v>0</v>
      </c>
      <c r="Y50" s="130">
        <f t="shared" si="0"/>
        <v>0</v>
      </c>
      <c r="Z50" s="113">
        <f t="shared" si="6"/>
        <v>0</v>
      </c>
    </row>
    <row r="51" spans="1:26" hidden="1" x14ac:dyDescent="0.25">
      <c r="A51" s="107"/>
      <c r="B51" s="107"/>
      <c r="C51" s="107"/>
      <c r="D51" s="107"/>
      <c r="E51" s="107"/>
      <c r="F51" s="132" t="s">
        <v>13</v>
      </c>
      <c r="G51" s="107"/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30">
        <f t="shared" si="0"/>
        <v>0</v>
      </c>
      <c r="Z51" s="113">
        <f t="shared" si="6"/>
        <v>0</v>
      </c>
    </row>
    <row r="52" spans="1:26" hidden="1" x14ac:dyDescent="0.25">
      <c r="A52" s="107"/>
      <c r="B52" s="107"/>
      <c r="C52" s="107"/>
      <c r="D52" s="107"/>
      <c r="E52" s="107"/>
      <c r="F52" s="132" t="s">
        <v>14</v>
      </c>
      <c r="G52" s="107"/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18">
        <v>0</v>
      </c>
      <c r="N52" s="118">
        <v>0</v>
      </c>
      <c r="O52" s="118">
        <v>0</v>
      </c>
      <c r="P52" s="118">
        <v>0</v>
      </c>
      <c r="Q52" s="118">
        <v>0</v>
      </c>
      <c r="R52" s="118">
        <v>0</v>
      </c>
      <c r="S52" s="118">
        <v>0</v>
      </c>
      <c r="T52" s="118">
        <v>0</v>
      </c>
      <c r="U52" s="118">
        <v>0</v>
      </c>
      <c r="V52" s="118">
        <v>0</v>
      </c>
      <c r="W52" s="118">
        <v>0</v>
      </c>
      <c r="X52" s="118">
        <v>0</v>
      </c>
      <c r="Y52" s="130">
        <f t="shared" si="0"/>
        <v>0</v>
      </c>
      <c r="Z52" s="113">
        <f t="shared" si="6"/>
        <v>0</v>
      </c>
    </row>
    <row r="53" spans="1:26" hidden="1" x14ac:dyDescent="0.25">
      <c r="A53" s="107"/>
      <c r="B53" s="107"/>
      <c r="C53" s="107"/>
      <c r="D53" s="107"/>
      <c r="E53" s="107"/>
      <c r="F53" s="132" t="s">
        <v>15</v>
      </c>
      <c r="G53" s="107"/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18">
        <v>0</v>
      </c>
      <c r="N53" s="118">
        <v>0</v>
      </c>
      <c r="O53" s="118">
        <v>0</v>
      </c>
      <c r="P53" s="118">
        <v>0</v>
      </c>
      <c r="Q53" s="118">
        <v>0</v>
      </c>
      <c r="R53" s="118">
        <v>0</v>
      </c>
      <c r="S53" s="118">
        <v>0</v>
      </c>
      <c r="T53" s="118">
        <v>0</v>
      </c>
      <c r="U53" s="118">
        <v>0</v>
      </c>
      <c r="V53" s="118">
        <v>0</v>
      </c>
      <c r="W53" s="118">
        <v>0</v>
      </c>
      <c r="X53" s="118">
        <v>0</v>
      </c>
      <c r="Y53" s="130">
        <f t="shared" si="0"/>
        <v>0</v>
      </c>
      <c r="Z53" s="113">
        <f t="shared" si="6"/>
        <v>0</v>
      </c>
    </row>
    <row r="54" spans="1:26" hidden="1" x14ac:dyDescent="0.25">
      <c r="A54" s="107"/>
      <c r="B54" s="107"/>
      <c r="C54" s="107"/>
      <c r="D54" s="107"/>
      <c r="E54" s="107"/>
      <c r="F54" s="132" t="s">
        <v>16</v>
      </c>
      <c r="G54" s="107"/>
      <c r="H54" s="133">
        <v>0</v>
      </c>
      <c r="I54" s="133">
        <v>0</v>
      </c>
      <c r="J54" s="133">
        <v>0</v>
      </c>
      <c r="K54" s="133">
        <v>0</v>
      </c>
      <c r="L54" s="133">
        <v>0</v>
      </c>
      <c r="M54" s="118">
        <v>0</v>
      </c>
      <c r="N54" s="118">
        <v>0</v>
      </c>
      <c r="O54" s="118">
        <v>0</v>
      </c>
      <c r="P54" s="118">
        <v>0</v>
      </c>
      <c r="Q54" s="118">
        <v>0</v>
      </c>
      <c r="R54" s="118">
        <v>0</v>
      </c>
      <c r="S54" s="118">
        <v>0</v>
      </c>
      <c r="T54" s="118">
        <v>0</v>
      </c>
      <c r="U54" s="118">
        <v>0</v>
      </c>
      <c r="V54" s="118">
        <v>0</v>
      </c>
      <c r="W54" s="118">
        <v>0</v>
      </c>
      <c r="X54" s="118">
        <v>0</v>
      </c>
      <c r="Y54" s="130">
        <f t="shared" si="0"/>
        <v>0</v>
      </c>
      <c r="Z54" s="113">
        <f t="shared" si="6"/>
        <v>0</v>
      </c>
    </row>
    <row r="55" spans="1:26" hidden="1" x14ac:dyDescent="0.25">
      <c r="A55" s="107"/>
      <c r="B55" s="107"/>
      <c r="C55" s="107"/>
      <c r="D55" s="107"/>
      <c r="E55" s="107"/>
      <c r="F55" s="132" t="s">
        <v>17</v>
      </c>
      <c r="G55" s="107"/>
      <c r="H55" s="133">
        <v>0</v>
      </c>
      <c r="I55" s="133">
        <v>0</v>
      </c>
      <c r="J55" s="133">
        <v>0</v>
      </c>
      <c r="K55" s="133">
        <v>0</v>
      </c>
      <c r="L55" s="133">
        <v>0</v>
      </c>
      <c r="M55" s="118">
        <v>0</v>
      </c>
      <c r="N55" s="118">
        <v>0</v>
      </c>
      <c r="O55" s="118">
        <v>0</v>
      </c>
      <c r="P55" s="118">
        <v>0</v>
      </c>
      <c r="Q55" s="118">
        <v>0</v>
      </c>
      <c r="R55" s="118">
        <v>0</v>
      </c>
      <c r="S55" s="118">
        <v>0</v>
      </c>
      <c r="T55" s="118">
        <v>0</v>
      </c>
      <c r="U55" s="118">
        <v>0</v>
      </c>
      <c r="V55" s="118">
        <v>0</v>
      </c>
      <c r="W55" s="118">
        <v>0</v>
      </c>
      <c r="X55" s="118">
        <v>0</v>
      </c>
      <c r="Y55" s="130">
        <f t="shared" si="0"/>
        <v>0</v>
      </c>
      <c r="Z55" s="113">
        <f t="shared" si="6"/>
        <v>0</v>
      </c>
    </row>
    <row r="56" spans="1:26" hidden="1" x14ac:dyDescent="0.25">
      <c r="A56" s="107"/>
      <c r="B56" s="107"/>
      <c r="C56" s="107"/>
      <c r="D56" s="107"/>
      <c r="E56" s="107"/>
      <c r="F56" s="132" t="s">
        <v>18</v>
      </c>
      <c r="G56" s="107"/>
      <c r="H56" s="133">
        <v>0</v>
      </c>
      <c r="I56" s="133">
        <v>0</v>
      </c>
      <c r="J56" s="133">
        <v>0</v>
      </c>
      <c r="K56" s="133">
        <v>0</v>
      </c>
      <c r="L56" s="133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0</v>
      </c>
      <c r="R56" s="118">
        <v>0</v>
      </c>
      <c r="S56" s="118">
        <v>0</v>
      </c>
      <c r="T56" s="118">
        <v>0</v>
      </c>
      <c r="U56" s="118">
        <v>0</v>
      </c>
      <c r="V56" s="118">
        <v>0</v>
      </c>
      <c r="W56" s="118">
        <v>0</v>
      </c>
      <c r="X56" s="118">
        <v>0</v>
      </c>
      <c r="Y56" s="130">
        <f t="shared" si="0"/>
        <v>0</v>
      </c>
      <c r="Z56" s="113">
        <f t="shared" si="6"/>
        <v>0</v>
      </c>
    </row>
    <row r="57" spans="1:26" hidden="1" x14ac:dyDescent="0.25">
      <c r="A57" s="107"/>
      <c r="B57" s="107"/>
      <c r="C57" s="107"/>
      <c r="D57" s="107"/>
      <c r="E57" s="107"/>
      <c r="F57" s="132" t="s">
        <v>19</v>
      </c>
      <c r="G57" s="107"/>
      <c r="H57" s="133">
        <v>0</v>
      </c>
      <c r="I57" s="133">
        <v>0</v>
      </c>
      <c r="J57" s="133">
        <v>0</v>
      </c>
      <c r="K57" s="133">
        <v>0</v>
      </c>
      <c r="L57" s="133">
        <v>0</v>
      </c>
      <c r="M57" s="118">
        <v>0</v>
      </c>
      <c r="N57" s="118">
        <v>0</v>
      </c>
      <c r="O57" s="118">
        <v>0</v>
      </c>
      <c r="P57" s="118">
        <v>0</v>
      </c>
      <c r="Q57" s="118">
        <v>0</v>
      </c>
      <c r="R57" s="118">
        <v>0</v>
      </c>
      <c r="S57" s="118">
        <v>0</v>
      </c>
      <c r="T57" s="118">
        <v>0</v>
      </c>
      <c r="U57" s="118">
        <v>0</v>
      </c>
      <c r="V57" s="118">
        <v>0</v>
      </c>
      <c r="W57" s="118">
        <v>0</v>
      </c>
      <c r="X57" s="118">
        <v>0</v>
      </c>
      <c r="Y57" s="130">
        <f t="shared" si="0"/>
        <v>0</v>
      </c>
      <c r="Z57" s="113">
        <f t="shared" si="6"/>
        <v>0</v>
      </c>
    </row>
    <row r="58" spans="1:26" hidden="1" x14ac:dyDescent="0.25">
      <c r="A58" s="107"/>
      <c r="B58" s="107"/>
      <c r="C58" s="107"/>
      <c r="D58" s="107"/>
      <c r="E58" s="107"/>
      <c r="F58" s="132" t="s">
        <v>20</v>
      </c>
      <c r="G58" s="107"/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18">
        <v>0</v>
      </c>
      <c r="S58" s="118">
        <v>0</v>
      </c>
      <c r="T58" s="118">
        <v>0</v>
      </c>
      <c r="U58" s="118">
        <v>0</v>
      </c>
      <c r="V58" s="118">
        <v>0</v>
      </c>
      <c r="W58" s="118">
        <v>0</v>
      </c>
      <c r="X58" s="118">
        <v>0</v>
      </c>
      <c r="Y58" s="130">
        <f t="shared" si="0"/>
        <v>0</v>
      </c>
      <c r="Z58" s="113">
        <f t="shared" si="6"/>
        <v>0</v>
      </c>
    </row>
    <row r="59" spans="1:26" hidden="1" x14ac:dyDescent="0.25">
      <c r="A59" s="107"/>
      <c r="B59" s="107"/>
      <c r="C59" s="107"/>
      <c r="D59" s="107"/>
      <c r="E59" s="107"/>
      <c r="F59" s="132" t="s">
        <v>21</v>
      </c>
      <c r="G59" s="107"/>
      <c r="H59" s="133">
        <v>0</v>
      </c>
      <c r="I59" s="133">
        <v>0</v>
      </c>
      <c r="J59" s="133">
        <v>0</v>
      </c>
      <c r="K59" s="133">
        <v>0</v>
      </c>
      <c r="L59" s="133">
        <v>0</v>
      </c>
      <c r="M59" s="118">
        <v>0</v>
      </c>
      <c r="N59" s="118">
        <v>0</v>
      </c>
      <c r="O59" s="118">
        <v>0</v>
      </c>
      <c r="P59" s="118">
        <v>0</v>
      </c>
      <c r="Q59" s="118">
        <v>0</v>
      </c>
      <c r="R59" s="118">
        <v>0</v>
      </c>
      <c r="S59" s="118">
        <v>0</v>
      </c>
      <c r="T59" s="118">
        <v>0</v>
      </c>
      <c r="U59" s="118">
        <v>0</v>
      </c>
      <c r="V59" s="118">
        <v>0</v>
      </c>
      <c r="W59" s="118">
        <v>0</v>
      </c>
      <c r="X59" s="118">
        <v>0</v>
      </c>
      <c r="Y59" s="130">
        <f t="shared" si="0"/>
        <v>0</v>
      </c>
      <c r="Z59" s="113">
        <f t="shared" si="6"/>
        <v>0</v>
      </c>
    </row>
    <row r="60" spans="1:26" ht="15.75" hidden="1" thickBot="1" x14ac:dyDescent="0.3">
      <c r="A60" s="107"/>
      <c r="B60" s="107"/>
      <c r="C60" s="107"/>
      <c r="D60" s="107"/>
      <c r="E60" s="107"/>
      <c r="F60" s="132" t="s">
        <v>22</v>
      </c>
      <c r="G60" s="107"/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  <c r="N60" s="134">
        <v>0</v>
      </c>
      <c r="O60" s="134">
        <v>0</v>
      </c>
      <c r="P60" s="134">
        <v>0</v>
      </c>
      <c r="Q60" s="134">
        <v>0</v>
      </c>
      <c r="R60" s="134">
        <v>0</v>
      </c>
      <c r="S60" s="134">
        <v>0</v>
      </c>
      <c r="T60" s="134">
        <v>0</v>
      </c>
      <c r="U60" s="134">
        <v>0</v>
      </c>
      <c r="V60" s="134">
        <v>0</v>
      </c>
      <c r="W60" s="134">
        <v>0</v>
      </c>
      <c r="X60" s="134">
        <v>0</v>
      </c>
      <c r="Y60" s="135">
        <f t="shared" si="0"/>
        <v>0</v>
      </c>
      <c r="Z60" s="113">
        <f t="shared" si="6"/>
        <v>0</v>
      </c>
    </row>
    <row r="61" spans="1:26" hidden="1" x14ac:dyDescent="0.25">
      <c r="A61" s="107"/>
      <c r="B61" s="107"/>
      <c r="C61" s="107"/>
      <c r="D61" s="107"/>
      <c r="E61" s="107" t="s">
        <v>23</v>
      </c>
      <c r="F61" s="107"/>
      <c r="G61" s="107"/>
      <c r="H61" s="118">
        <f>ROUND(SUM(H39:H60),5)</f>
        <v>0</v>
      </c>
      <c r="I61" s="118">
        <f t="shared" ref="I61:Y61" si="7">ROUND(SUM(I39:I60),5)</f>
        <v>0</v>
      </c>
      <c r="J61" s="118">
        <f t="shared" si="7"/>
        <v>0</v>
      </c>
      <c r="K61" s="118">
        <f t="shared" si="7"/>
        <v>0</v>
      </c>
      <c r="L61" s="118">
        <f t="shared" si="7"/>
        <v>0</v>
      </c>
      <c r="M61" s="118">
        <f t="shared" si="7"/>
        <v>0</v>
      </c>
      <c r="N61" s="118">
        <f t="shared" si="7"/>
        <v>0</v>
      </c>
      <c r="O61" s="118">
        <f t="shared" si="7"/>
        <v>0</v>
      </c>
      <c r="P61" s="118">
        <f t="shared" si="7"/>
        <v>0</v>
      </c>
      <c r="Q61" s="118">
        <f t="shared" si="7"/>
        <v>0</v>
      </c>
      <c r="R61" s="118">
        <f t="shared" si="7"/>
        <v>0</v>
      </c>
      <c r="S61" s="118">
        <f t="shared" si="7"/>
        <v>0</v>
      </c>
      <c r="T61" s="118">
        <f t="shared" si="7"/>
        <v>0</v>
      </c>
      <c r="U61" s="118">
        <f t="shared" si="7"/>
        <v>0</v>
      </c>
      <c r="V61" s="118">
        <f t="shared" si="7"/>
        <v>0</v>
      </c>
      <c r="W61" s="118">
        <f t="shared" si="7"/>
        <v>0</v>
      </c>
      <c r="X61" s="118">
        <f t="shared" si="7"/>
        <v>0</v>
      </c>
      <c r="Y61" s="118">
        <f t="shared" si="7"/>
        <v>0</v>
      </c>
      <c r="Z61" s="113">
        <f t="shared" si="6"/>
        <v>0</v>
      </c>
    </row>
    <row r="62" spans="1:26" hidden="1" x14ac:dyDescent="0.25">
      <c r="A62" s="107"/>
      <c r="B62" s="107"/>
      <c r="C62" s="107"/>
      <c r="D62" s="107"/>
      <c r="E62" s="107" t="s">
        <v>161</v>
      </c>
      <c r="F62" s="107"/>
      <c r="G62" s="107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30"/>
    </row>
    <row r="63" spans="1:26" hidden="1" x14ac:dyDescent="0.25">
      <c r="A63" s="107"/>
      <c r="B63" s="107"/>
      <c r="C63" s="107"/>
      <c r="D63" s="107"/>
      <c r="E63" s="107"/>
      <c r="F63" s="107" t="s">
        <v>40</v>
      </c>
      <c r="G63" s="107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30"/>
    </row>
    <row r="64" spans="1:26" hidden="1" x14ac:dyDescent="0.25">
      <c r="A64" s="107"/>
      <c r="B64" s="107"/>
      <c r="C64" s="107"/>
      <c r="D64" s="107"/>
      <c r="E64" s="107"/>
      <c r="F64" s="132" t="s">
        <v>41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  <c r="M64" s="133">
        <v>0</v>
      </c>
      <c r="N64" s="133">
        <v>0</v>
      </c>
      <c r="O64" s="133">
        <v>0</v>
      </c>
      <c r="P64" s="133">
        <v>0</v>
      </c>
      <c r="Q64" s="133">
        <v>0</v>
      </c>
      <c r="R64" s="133">
        <v>0</v>
      </c>
      <c r="S64" s="133">
        <v>0</v>
      </c>
      <c r="T64" s="133">
        <v>0</v>
      </c>
      <c r="U64" s="133">
        <v>0</v>
      </c>
      <c r="V64" s="133">
        <v>0</v>
      </c>
      <c r="W64" s="133">
        <v>0</v>
      </c>
      <c r="X64" s="133">
        <v>0</v>
      </c>
      <c r="Y64" s="130">
        <f t="shared" si="0"/>
        <v>0</v>
      </c>
      <c r="Z64" s="113">
        <f t="shared" ref="Z64:Z74" si="8">ROUND(Y64-H64,0)</f>
        <v>0</v>
      </c>
    </row>
    <row r="65" spans="1:26" hidden="1" x14ac:dyDescent="0.25">
      <c r="A65" s="107"/>
      <c r="B65" s="107"/>
      <c r="C65" s="107"/>
      <c r="D65" s="107"/>
      <c r="E65" s="107"/>
      <c r="F65" s="132" t="s">
        <v>42</v>
      </c>
      <c r="H65" s="133">
        <v>0</v>
      </c>
      <c r="I65" s="133">
        <v>0</v>
      </c>
      <c r="J65" s="133">
        <v>0</v>
      </c>
      <c r="K65" s="133">
        <v>0</v>
      </c>
      <c r="L65" s="133">
        <v>0</v>
      </c>
      <c r="M65" s="133">
        <v>0</v>
      </c>
      <c r="N65" s="133">
        <v>0</v>
      </c>
      <c r="O65" s="133">
        <v>0</v>
      </c>
      <c r="P65" s="133">
        <v>0</v>
      </c>
      <c r="Q65" s="133">
        <v>0</v>
      </c>
      <c r="R65" s="133">
        <v>0</v>
      </c>
      <c r="S65" s="133">
        <v>0</v>
      </c>
      <c r="T65" s="133">
        <v>0</v>
      </c>
      <c r="U65" s="133">
        <v>0</v>
      </c>
      <c r="V65" s="133">
        <v>0</v>
      </c>
      <c r="W65" s="133">
        <v>0</v>
      </c>
      <c r="X65" s="133">
        <v>0</v>
      </c>
      <c r="Y65" s="130">
        <f t="shared" si="0"/>
        <v>0</v>
      </c>
      <c r="Z65" s="113">
        <f t="shared" si="8"/>
        <v>0</v>
      </c>
    </row>
    <row r="66" spans="1:26" hidden="1" x14ac:dyDescent="0.25">
      <c r="A66" s="107"/>
      <c r="B66" s="107"/>
      <c r="C66" s="107"/>
      <c r="D66" s="107"/>
      <c r="E66" s="107"/>
      <c r="F66" s="132" t="s">
        <v>43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  <c r="M66" s="133">
        <v>0</v>
      </c>
      <c r="N66" s="133">
        <v>0</v>
      </c>
      <c r="O66" s="133">
        <v>0</v>
      </c>
      <c r="P66" s="133">
        <v>0</v>
      </c>
      <c r="Q66" s="133">
        <v>0</v>
      </c>
      <c r="R66" s="133">
        <v>0</v>
      </c>
      <c r="S66" s="133">
        <v>0</v>
      </c>
      <c r="T66" s="133">
        <v>0</v>
      </c>
      <c r="U66" s="133">
        <v>0</v>
      </c>
      <c r="V66" s="133">
        <v>0</v>
      </c>
      <c r="W66" s="133">
        <v>0</v>
      </c>
      <c r="X66" s="133">
        <v>0</v>
      </c>
      <c r="Y66" s="130">
        <f t="shared" si="0"/>
        <v>0</v>
      </c>
      <c r="Z66" s="113">
        <f t="shared" si="8"/>
        <v>0</v>
      </c>
    </row>
    <row r="67" spans="1:26" hidden="1" x14ac:dyDescent="0.25">
      <c r="A67" s="107"/>
      <c r="B67" s="107"/>
      <c r="C67" s="107"/>
      <c r="D67" s="107"/>
      <c r="E67" s="107"/>
      <c r="F67" s="132" t="s">
        <v>44</v>
      </c>
      <c r="H67" s="133">
        <v>0</v>
      </c>
      <c r="I67" s="133">
        <v>0</v>
      </c>
      <c r="J67" s="133">
        <v>0</v>
      </c>
      <c r="K67" s="133">
        <v>0</v>
      </c>
      <c r="L67" s="133">
        <v>0</v>
      </c>
      <c r="M67" s="133">
        <v>0</v>
      </c>
      <c r="N67" s="133">
        <v>0</v>
      </c>
      <c r="O67" s="133">
        <v>0</v>
      </c>
      <c r="P67" s="133">
        <v>0</v>
      </c>
      <c r="Q67" s="133">
        <v>0</v>
      </c>
      <c r="R67" s="133">
        <v>0</v>
      </c>
      <c r="S67" s="133">
        <v>0</v>
      </c>
      <c r="T67" s="133">
        <v>0</v>
      </c>
      <c r="U67" s="133">
        <v>0</v>
      </c>
      <c r="V67" s="133">
        <v>0</v>
      </c>
      <c r="W67" s="133">
        <v>0</v>
      </c>
      <c r="X67" s="133">
        <v>0</v>
      </c>
      <c r="Y67" s="130">
        <f t="shared" si="0"/>
        <v>0</v>
      </c>
      <c r="Z67" s="113">
        <f t="shared" si="8"/>
        <v>0</v>
      </c>
    </row>
    <row r="68" spans="1:26" hidden="1" x14ac:dyDescent="0.25">
      <c r="A68" s="107"/>
      <c r="B68" s="107"/>
      <c r="C68" s="107"/>
      <c r="D68" s="107"/>
      <c r="E68" s="107"/>
      <c r="F68" s="132" t="s">
        <v>45</v>
      </c>
      <c r="H68" s="133">
        <v>0</v>
      </c>
      <c r="I68" s="133">
        <v>0</v>
      </c>
      <c r="J68" s="133">
        <v>0</v>
      </c>
      <c r="K68" s="133">
        <v>0</v>
      </c>
      <c r="L68" s="133">
        <v>0</v>
      </c>
      <c r="M68" s="133">
        <v>0</v>
      </c>
      <c r="N68" s="133">
        <v>0</v>
      </c>
      <c r="O68" s="133">
        <v>0</v>
      </c>
      <c r="P68" s="133">
        <v>0</v>
      </c>
      <c r="Q68" s="133">
        <v>0</v>
      </c>
      <c r="R68" s="133">
        <v>0</v>
      </c>
      <c r="S68" s="133">
        <v>0</v>
      </c>
      <c r="T68" s="133">
        <v>0</v>
      </c>
      <c r="U68" s="133">
        <v>0</v>
      </c>
      <c r="V68" s="133">
        <v>0</v>
      </c>
      <c r="W68" s="133">
        <v>0</v>
      </c>
      <c r="X68" s="133">
        <v>0</v>
      </c>
      <c r="Y68" s="130">
        <f t="shared" si="0"/>
        <v>0</v>
      </c>
      <c r="Z68" s="113">
        <f t="shared" si="8"/>
        <v>0</v>
      </c>
    </row>
    <row r="69" spans="1:26" hidden="1" x14ac:dyDescent="0.25">
      <c r="A69" s="107"/>
      <c r="B69" s="107"/>
      <c r="C69" s="107"/>
      <c r="D69" s="107"/>
      <c r="E69" s="107"/>
      <c r="F69" s="132" t="s">
        <v>46</v>
      </c>
      <c r="H69" s="133">
        <v>0</v>
      </c>
      <c r="I69" s="133">
        <v>0</v>
      </c>
      <c r="J69" s="133">
        <v>0</v>
      </c>
      <c r="K69" s="133">
        <v>0</v>
      </c>
      <c r="L69" s="133">
        <v>0</v>
      </c>
      <c r="M69" s="133">
        <v>0</v>
      </c>
      <c r="N69" s="133">
        <v>0</v>
      </c>
      <c r="O69" s="133">
        <v>0</v>
      </c>
      <c r="P69" s="133">
        <v>0</v>
      </c>
      <c r="Q69" s="133">
        <v>0</v>
      </c>
      <c r="R69" s="133">
        <v>0</v>
      </c>
      <c r="S69" s="133">
        <v>0</v>
      </c>
      <c r="T69" s="133">
        <v>0</v>
      </c>
      <c r="U69" s="133">
        <v>0</v>
      </c>
      <c r="V69" s="133">
        <v>0</v>
      </c>
      <c r="W69" s="133">
        <v>0</v>
      </c>
      <c r="X69" s="133">
        <v>0</v>
      </c>
      <c r="Y69" s="130">
        <f t="shared" si="0"/>
        <v>0</v>
      </c>
      <c r="Z69" s="113">
        <f t="shared" si="8"/>
        <v>0</v>
      </c>
    </row>
    <row r="70" spans="1:26" hidden="1" x14ac:dyDescent="0.25">
      <c r="A70" s="107"/>
      <c r="B70" s="107"/>
      <c r="C70" s="107"/>
      <c r="D70" s="107"/>
      <c r="E70" s="107"/>
      <c r="F70" s="132" t="s">
        <v>47</v>
      </c>
      <c r="H70" s="133">
        <v>0</v>
      </c>
      <c r="I70" s="133">
        <v>0</v>
      </c>
      <c r="J70" s="133">
        <v>0</v>
      </c>
      <c r="K70" s="133">
        <v>0</v>
      </c>
      <c r="L70" s="133">
        <v>0</v>
      </c>
      <c r="M70" s="133">
        <v>0</v>
      </c>
      <c r="N70" s="133">
        <v>0</v>
      </c>
      <c r="O70" s="133">
        <v>0</v>
      </c>
      <c r="P70" s="133">
        <v>0</v>
      </c>
      <c r="Q70" s="133">
        <v>0</v>
      </c>
      <c r="R70" s="133">
        <v>0</v>
      </c>
      <c r="S70" s="133">
        <v>0</v>
      </c>
      <c r="T70" s="133">
        <v>0</v>
      </c>
      <c r="U70" s="133">
        <v>0</v>
      </c>
      <c r="V70" s="133">
        <v>0</v>
      </c>
      <c r="W70" s="133">
        <v>0</v>
      </c>
      <c r="X70" s="133">
        <v>0</v>
      </c>
      <c r="Y70" s="130">
        <f t="shared" si="0"/>
        <v>0</v>
      </c>
      <c r="Z70" s="113">
        <f t="shared" si="8"/>
        <v>0</v>
      </c>
    </row>
    <row r="71" spans="1:26" hidden="1" x14ac:dyDescent="0.25">
      <c r="A71" s="107"/>
      <c r="B71" s="107"/>
      <c r="C71" s="107"/>
      <c r="D71" s="107"/>
      <c r="E71" s="107"/>
      <c r="F71" s="132" t="s">
        <v>48</v>
      </c>
      <c r="H71" s="133">
        <v>0</v>
      </c>
      <c r="I71" s="133">
        <v>0</v>
      </c>
      <c r="J71" s="133">
        <v>0</v>
      </c>
      <c r="K71" s="133">
        <v>0</v>
      </c>
      <c r="L71" s="133">
        <v>0</v>
      </c>
      <c r="M71" s="133">
        <v>0</v>
      </c>
      <c r="N71" s="133">
        <v>0</v>
      </c>
      <c r="O71" s="133">
        <v>0</v>
      </c>
      <c r="P71" s="133">
        <v>0</v>
      </c>
      <c r="Q71" s="133">
        <v>0</v>
      </c>
      <c r="R71" s="133">
        <v>0</v>
      </c>
      <c r="S71" s="133">
        <v>0</v>
      </c>
      <c r="T71" s="133">
        <v>0</v>
      </c>
      <c r="U71" s="133">
        <v>0</v>
      </c>
      <c r="V71" s="133">
        <v>0</v>
      </c>
      <c r="W71" s="133">
        <v>0</v>
      </c>
      <c r="X71" s="133">
        <v>0</v>
      </c>
      <c r="Y71" s="130">
        <f t="shared" ref="Y71:Y134" si="9">SUM(M71:X71)</f>
        <v>0</v>
      </c>
      <c r="Z71" s="113">
        <f t="shared" si="8"/>
        <v>0</v>
      </c>
    </row>
    <row r="72" spans="1:26" hidden="1" x14ac:dyDescent="0.25">
      <c r="A72" s="107"/>
      <c r="B72" s="107"/>
      <c r="C72" s="107"/>
      <c r="D72" s="107"/>
      <c r="E72" s="107"/>
      <c r="F72" s="132" t="s">
        <v>49</v>
      </c>
      <c r="H72" s="133">
        <v>0</v>
      </c>
      <c r="I72" s="133">
        <v>0</v>
      </c>
      <c r="J72" s="133">
        <v>0</v>
      </c>
      <c r="K72" s="133">
        <v>0</v>
      </c>
      <c r="L72" s="133">
        <v>0</v>
      </c>
      <c r="M72" s="133">
        <v>0</v>
      </c>
      <c r="N72" s="133">
        <v>0</v>
      </c>
      <c r="O72" s="133">
        <v>0</v>
      </c>
      <c r="P72" s="133">
        <v>0</v>
      </c>
      <c r="Q72" s="133">
        <v>0</v>
      </c>
      <c r="R72" s="133">
        <v>0</v>
      </c>
      <c r="S72" s="133">
        <v>0</v>
      </c>
      <c r="T72" s="133">
        <v>0</v>
      </c>
      <c r="U72" s="133">
        <v>0</v>
      </c>
      <c r="V72" s="133">
        <v>0</v>
      </c>
      <c r="W72" s="133">
        <v>0</v>
      </c>
      <c r="X72" s="133">
        <v>0</v>
      </c>
      <c r="Y72" s="130">
        <f t="shared" si="9"/>
        <v>0</v>
      </c>
      <c r="Z72" s="113">
        <f t="shared" si="8"/>
        <v>0</v>
      </c>
    </row>
    <row r="73" spans="1:26" ht="15.75" hidden="1" thickBot="1" x14ac:dyDescent="0.3">
      <c r="A73" s="107"/>
      <c r="B73" s="107"/>
      <c r="C73" s="107"/>
      <c r="D73" s="107"/>
      <c r="E73" s="107"/>
      <c r="F73" s="132" t="s">
        <v>50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34">
        <v>0</v>
      </c>
      <c r="O73" s="134">
        <v>0</v>
      </c>
      <c r="P73" s="134">
        <v>0</v>
      </c>
      <c r="Q73" s="134">
        <v>0</v>
      </c>
      <c r="R73" s="134">
        <v>0</v>
      </c>
      <c r="S73" s="134">
        <v>0</v>
      </c>
      <c r="T73" s="134">
        <v>0</v>
      </c>
      <c r="U73" s="134">
        <v>0</v>
      </c>
      <c r="V73" s="134">
        <v>0</v>
      </c>
      <c r="W73" s="134">
        <v>0</v>
      </c>
      <c r="X73" s="134">
        <v>0</v>
      </c>
      <c r="Y73" s="135">
        <f t="shared" si="9"/>
        <v>0</v>
      </c>
      <c r="Z73" s="113">
        <f t="shared" si="8"/>
        <v>0</v>
      </c>
    </row>
    <row r="74" spans="1:26" hidden="1" x14ac:dyDescent="0.25">
      <c r="A74" s="107"/>
      <c r="B74" s="107"/>
      <c r="C74" s="107"/>
      <c r="D74" s="107"/>
      <c r="E74" s="107"/>
      <c r="F74" s="107" t="s">
        <v>51</v>
      </c>
      <c r="G74" s="107"/>
      <c r="H74" s="118">
        <f>ROUND(SUM(H64:H73),5)</f>
        <v>0</v>
      </c>
      <c r="I74" s="118">
        <f t="shared" ref="I74:Y74" si="10">ROUND(SUM(I64:I73),5)</f>
        <v>0</v>
      </c>
      <c r="J74" s="118">
        <f t="shared" si="10"/>
        <v>0</v>
      </c>
      <c r="K74" s="118">
        <f t="shared" si="10"/>
        <v>0</v>
      </c>
      <c r="L74" s="118">
        <f t="shared" si="10"/>
        <v>0</v>
      </c>
      <c r="M74" s="118">
        <f t="shared" si="10"/>
        <v>0</v>
      </c>
      <c r="N74" s="118">
        <f t="shared" si="10"/>
        <v>0</v>
      </c>
      <c r="O74" s="118">
        <f t="shared" si="10"/>
        <v>0</v>
      </c>
      <c r="P74" s="118">
        <f t="shared" si="10"/>
        <v>0</v>
      </c>
      <c r="Q74" s="118">
        <f t="shared" si="10"/>
        <v>0</v>
      </c>
      <c r="R74" s="118">
        <f t="shared" si="10"/>
        <v>0</v>
      </c>
      <c r="S74" s="118">
        <f t="shared" si="10"/>
        <v>0</v>
      </c>
      <c r="T74" s="118">
        <f t="shared" si="10"/>
        <v>0</v>
      </c>
      <c r="U74" s="118">
        <f t="shared" si="10"/>
        <v>0</v>
      </c>
      <c r="V74" s="118">
        <f t="shared" si="10"/>
        <v>0</v>
      </c>
      <c r="W74" s="118">
        <f t="shared" si="10"/>
        <v>0</v>
      </c>
      <c r="X74" s="118">
        <f t="shared" si="10"/>
        <v>0</v>
      </c>
      <c r="Y74" s="118">
        <f t="shared" si="10"/>
        <v>0</v>
      </c>
      <c r="Z74" s="113">
        <f t="shared" si="8"/>
        <v>0</v>
      </c>
    </row>
    <row r="75" spans="1:26" hidden="1" x14ac:dyDescent="0.25">
      <c r="A75" s="107"/>
      <c r="B75" s="107"/>
      <c r="C75" s="107"/>
      <c r="D75" s="107"/>
      <c r="E75" s="107"/>
      <c r="F75" s="107" t="s">
        <v>32</v>
      </c>
      <c r="G75" s="107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30"/>
    </row>
    <row r="76" spans="1:26" hidden="1" x14ac:dyDescent="0.25">
      <c r="A76" s="107"/>
      <c r="B76" s="107"/>
      <c r="C76" s="107"/>
      <c r="D76" s="107"/>
      <c r="E76" s="107"/>
      <c r="F76" s="132" t="s">
        <v>33</v>
      </c>
      <c r="G76" s="107"/>
      <c r="H76" s="133">
        <v>0</v>
      </c>
      <c r="I76" s="133">
        <v>0</v>
      </c>
      <c r="J76" s="133">
        <v>0</v>
      </c>
      <c r="K76" s="133">
        <v>0</v>
      </c>
      <c r="L76" s="133">
        <v>0</v>
      </c>
      <c r="M76" s="133">
        <v>0</v>
      </c>
      <c r="N76" s="133">
        <v>0</v>
      </c>
      <c r="O76" s="133">
        <v>0</v>
      </c>
      <c r="P76" s="133">
        <v>0</v>
      </c>
      <c r="Q76" s="133">
        <v>0</v>
      </c>
      <c r="R76" s="133">
        <v>0</v>
      </c>
      <c r="S76" s="133">
        <v>0</v>
      </c>
      <c r="T76" s="133">
        <v>0</v>
      </c>
      <c r="U76" s="133">
        <v>0</v>
      </c>
      <c r="V76" s="133">
        <v>0</v>
      </c>
      <c r="W76" s="133">
        <v>0</v>
      </c>
      <c r="X76" s="133">
        <v>0</v>
      </c>
      <c r="Y76" s="130">
        <f t="shared" si="9"/>
        <v>0</v>
      </c>
      <c r="Z76" s="113">
        <f t="shared" ref="Z76:Z83" si="11">ROUND(Y76-H76,0)</f>
        <v>0</v>
      </c>
    </row>
    <row r="77" spans="1:26" hidden="1" x14ac:dyDescent="0.25">
      <c r="A77" s="107"/>
      <c r="B77" s="107"/>
      <c r="C77" s="107"/>
      <c r="D77" s="107"/>
      <c r="E77" s="107"/>
      <c r="F77" s="132" t="s">
        <v>34</v>
      </c>
      <c r="G77" s="107"/>
      <c r="H77" s="133">
        <v>0</v>
      </c>
      <c r="I77" s="133">
        <v>0</v>
      </c>
      <c r="J77" s="133">
        <v>0</v>
      </c>
      <c r="K77" s="133">
        <v>0</v>
      </c>
      <c r="L77" s="133">
        <v>0</v>
      </c>
      <c r="M77" s="133">
        <v>0</v>
      </c>
      <c r="N77" s="133">
        <v>0</v>
      </c>
      <c r="O77" s="133">
        <v>0</v>
      </c>
      <c r="P77" s="133">
        <v>0</v>
      </c>
      <c r="Q77" s="133">
        <v>0</v>
      </c>
      <c r="R77" s="133">
        <v>0</v>
      </c>
      <c r="S77" s="133">
        <v>0</v>
      </c>
      <c r="T77" s="133">
        <v>0</v>
      </c>
      <c r="U77" s="133">
        <v>0</v>
      </c>
      <c r="V77" s="133">
        <v>0</v>
      </c>
      <c r="W77" s="133">
        <v>0</v>
      </c>
      <c r="X77" s="133">
        <v>0</v>
      </c>
      <c r="Y77" s="130">
        <f t="shared" si="9"/>
        <v>0</v>
      </c>
      <c r="Z77" s="113">
        <f t="shared" si="11"/>
        <v>0</v>
      </c>
    </row>
    <row r="78" spans="1:26" hidden="1" x14ac:dyDescent="0.25">
      <c r="A78" s="107"/>
      <c r="B78" s="107"/>
      <c r="C78" s="107"/>
      <c r="D78" s="107"/>
      <c r="E78" s="107"/>
      <c r="F78" s="132" t="s">
        <v>35</v>
      </c>
      <c r="G78" s="107"/>
      <c r="H78" s="133">
        <v>0</v>
      </c>
      <c r="I78" s="133">
        <v>0</v>
      </c>
      <c r="J78" s="133">
        <v>0</v>
      </c>
      <c r="K78" s="133">
        <v>0</v>
      </c>
      <c r="L78" s="133">
        <v>0</v>
      </c>
      <c r="M78" s="133">
        <v>0</v>
      </c>
      <c r="N78" s="133">
        <v>0</v>
      </c>
      <c r="O78" s="133">
        <v>0</v>
      </c>
      <c r="P78" s="133">
        <v>0</v>
      </c>
      <c r="Q78" s="133">
        <v>0</v>
      </c>
      <c r="R78" s="133">
        <v>0</v>
      </c>
      <c r="S78" s="133">
        <v>0</v>
      </c>
      <c r="T78" s="133">
        <v>0</v>
      </c>
      <c r="U78" s="133">
        <v>0</v>
      </c>
      <c r="V78" s="133">
        <v>0</v>
      </c>
      <c r="W78" s="133">
        <v>0</v>
      </c>
      <c r="X78" s="133">
        <v>0</v>
      </c>
      <c r="Y78" s="130">
        <f t="shared" si="9"/>
        <v>0</v>
      </c>
      <c r="Z78" s="113">
        <f t="shared" si="11"/>
        <v>0</v>
      </c>
    </row>
    <row r="79" spans="1:26" hidden="1" x14ac:dyDescent="0.25">
      <c r="A79" s="107"/>
      <c r="B79" s="107"/>
      <c r="C79" s="107"/>
      <c r="D79" s="107"/>
      <c r="E79" s="107"/>
      <c r="F79" s="132" t="s">
        <v>36</v>
      </c>
      <c r="G79" s="107"/>
      <c r="H79" s="133">
        <v>0</v>
      </c>
      <c r="I79" s="133">
        <v>0</v>
      </c>
      <c r="J79" s="133">
        <v>0</v>
      </c>
      <c r="K79" s="133">
        <v>0</v>
      </c>
      <c r="L79" s="133">
        <v>0</v>
      </c>
      <c r="M79" s="133">
        <v>0</v>
      </c>
      <c r="N79" s="133">
        <v>0</v>
      </c>
      <c r="O79" s="133">
        <v>0</v>
      </c>
      <c r="P79" s="133">
        <v>0</v>
      </c>
      <c r="Q79" s="133">
        <v>0</v>
      </c>
      <c r="R79" s="133">
        <v>0</v>
      </c>
      <c r="S79" s="133">
        <v>0</v>
      </c>
      <c r="T79" s="133">
        <v>0</v>
      </c>
      <c r="U79" s="133">
        <v>0</v>
      </c>
      <c r="V79" s="133">
        <v>0</v>
      </c>
      <c r="W79" s="133">
        <v>0</v>
      </c>
      <c r="X79" s="133">
        <v>0</v>
      </c>
      <c r="Y79" s="130">
        <f t="shared" si="9"/>
        <v>0</v>
      </c>
      <c r="Z79" s="113">
        <f t="shared" si="11"/>
        <v>0</v>
      </c>
    </row>
    <row r="80" spans="1:26" hidden="1" x14ac:dyDescent="0.25">
      <c r="A80" s="107"/>
      <c r="B80" s="107"/>
      <c r="C80" s="107"/>
      <c r="D80" s="107"/>
      <c r="E80" s="107"/>
      <c r="F80" s="132" t="s">
        <v>37</v>
      </c>
      <c r="G80" s="107"/>
      <c r="H80" s="133">
        <v>0</v>
      </c>
      <c r="I80" s="133">
        <v>0</v>
      </c>
      <c r="J80" s="133">
        <v>0</v>
      </c>
      <c r="K80" s="133">
        <v>0</v>
      </c>
      <c r="L80" s="133">
        <v>0</v>
      </c>
      <c r="M80" s="133">
        <v>0</v>
      </c>
      <c r="N80" s="133">
        <v>0</v>
      </c>
      <c r="O80" s="133">
        <v>0</v>
      </c>
      <c r="P80" s="133">
        <v>0</v>
      </c>
      <c r="Q80" s="133">
        <v>0</v>
      </c>
      <c r="R80" s="133">
        <v>0</v>
      </c>
      <c r="S80" s="133">
        <v>0</v>
      </c>
      <c r="T80" s="133">
        <v>0</v>
      </c>
      <c r="U80" s="133">
        <v>0</v>
      </c>
      <c r="V80" s="133">
        <v>0</v>
      </c>
      <c r="W80" s="133">
        <v>0</v>
      </c>
      <c r="X80" s="133">
        <v>0</v>
      </c>
      <c r="Y80" s="130">
        <f t="shared" si="9"/>
        <v>0</v>
      </c>
      <c r="Z80" s="113">
        <f t="shared" si="11"/>
        <v>0</v>
      </c>
    </row>
    <row r="81" spans="1:26" ht="15.75" hidden="1" thickBot="1" x14ac:dyDescent="0.3">
      <c r="A81" s="107"/>
      <c r="B81" s="107"/>
      <c r="C81" s="107"/>
      <c r="D81" s="107"/>
      <c r="E81" s="107"/>
      <c r="F81" s="132" t="s">
        <v>38</v>
      </c>
      <c r="G81" s="107"/>
      <c r="H81" s="134">
        <v>0</v>
      </c>
      <c r="I81" s="134">
        <v>0</v>
      </c>
      <c r="J81" s="134">
        <v>0</v>
      </c>
      <c r="K81" s="134">
        <v>0</v>
      </c>
      <c r="L81" s="134">
        <v>0</v>
      </c>
      <c r="M81" s="134">
        <v>0</v>
      </c>
      <c r="N81" s="134">
        <v>0</v>
      </c>
      <c r="O81" s="134">
        <v>0</v>
      </c>
      <c r="P81" s="134">
        <v>0</v>
      </c>
      <c r="Q81" s="134">
        <v>0</v>
      </c>
      <c r="R81" s="134">
        <v>0</v>
      </c>
      <c r="S81" s="134">
        <v>0</v>
      </c>
      <c r="T81" s="134">
        <v>0</v>
      </c>
      <c r="U81" s="134">
        <v>0</v>
      </c>
      <c r="V81" s="134">
        <v>0</v>
      </c>
      <c r="W81" s="134">
        <v>0</v>
      </c>
      <c r="X81" s="134">
        <v>0</v>
      </c>
      <c r="Y81" s="130">
        <f t="shared" si="9"/>
        <v>0</v>
      </c>
      <c r="Z81" s="113">
        <f t="shared" si="11"/>
        <v>0</v>
      </c>
    </row>
    <row r="82" spans="1:26" ht="15.75" hidden="1" thickBot="1" x14ac:dyDescent="0.3">
      <c r="A82" s="107"/>
      <c r="B82" s="107"/>
      <c r="C82" s="107"/>
      <c r="D82" s="107"/>
      <c r="E82" s="107"/>
      <c r="F82" s="107" t="s">
        <v>39</v>
      </c>
      <c r="G82" s="107"/>
      <c r="H82" s="131">
        <f>ROUND(SUM(H76:H81),5)</f>
        <v>0</v>
      </c>
      <c r="I82" s="131">
        <f t="shared" ref="I82:Y82" si="12">ROUND(SUM(I76:I81),5)</f>
        <v>0</v>
      </c>
      <c r="J82" s="131">
        <f t="shared" si="12"/>
        <v>0</v>
      </c>
      <c r="K82" s="131">
        <f t="shared" si="12"/>
        <v>0</v>
      </c>
      <c r="L82" s="131">
        <f t="shared" si="12"/>
        <v>0</v>
      </c>
      <c r="M82" s="131">
        <f t="shared" si="12"/>
        <v>0</v>
      </c>
      <c r="N82" s="131">
        <f t="shared" si="12"/>
        <v>0</v>
      </c>
      <c r="O82" s="131">
        <f t="shared" si="12"/>
        <v>0</v>
      </c>
      <c r="P82" s="131">
        <f t="shared" si="12"/>
        <v>0</v>
      </c>
      <c r="Q82" s="131">
        <f t="shared" si="12"/>
        <v>0</v>
      </c>
      <c r="R82" s="131">
        <f t="shared" si="12"/>
        <v>0</v>
      </c>
      <c r="S82" s="131">
        <f t="shared" si="12"/>
        <v>0</v>
      </c>
      <c r="T82" s="131">
        <f t="shared" si="12"/>
        <v>0</v>
      </c>
      <c r="U82" s="131">
        <f t="shared" si="12"/>
        <v>0</v>
      </c>
      <c r="V82" s="131">
        <f t="shared" si="12"/>
        <v>0</v>
      </c>
      <c r="W82" s="131">
        <f t="shared" si="12"/>
        <v>0</v>
      </c>
      <c r="X82" s="131">
        <f t="shared" si="12"/>
        <v>0</v>
      </c>
      <c r="Y82" s="131">
        <f t="shared" si="12"/>
        <v>0</v>
      </c>
      <c r="Z82" s="113">
        <f t="shared" si="11"/>
        <v>0</v>
      </c>
    </row>
    <row r="83" spans="1:26" hidden="1" x14ac:dyDescent="0.25">
      <c r="A83" s="107"/>
      <c r="B83" s="107"/>
      <c r="C83" s="107"/>
      <c r="D83" s="107"/>
      <c r="E83" s="107" t="s">
        <v>162</v>
      </c>
      <c r="F83" s="107"/>
      <c r="G83" s="107"/>
      <c r="H83" s="118">
        <f>ROUND(H62+H74+H82,5)</f>
        <v>0</v>
      </c>
      <c r="I83" s="118">
        <f t="shared" ref="I83:X83" si="13">ROUND(I62+I74+I82,5)</f>
        <v>0</v>
      </c>
      <c r="J83" s="118">
        <f t="shared" si="13"/>
        <v>0</v>
      </c>
      <c r="K83" s="118">
        <f t="shared" si="13"/>
        <v>0</v>
      </c>
      <c r="L83" s="118">
        <f t="shared" si="13"/>
        <v>0</v>
      </c>
      <c r="M83" s="118">
        <f t="shared" si="13"/>
        <v>0</v>
      </c>
      <c r="N83" s="118">
        <f t="shared" si="13"/>
        <v>0</v>
      </c>
      <c r="O83" s="118">
        <f t="shared" si="13"/>
        <v>0</v>
      </c>
      <c r="P83" s="118">
        <f t="shared" si="13"/>
        <v>0</v>
      </c>
      <c r="Q83" s="118">
        <f t="shared" si="13"/>
        <v>0</v>
      </c>
      <c r="R83" s="118">
        <f t="shared" si="13"/>
        <v>0</v>
      </c>
      <c r="S83" s="118">
        <f t="shared" si="13"/>
        <v>0</v>
      </c>
      <c r="T83" s="118">
        <f t="shared" si="13"/>
        <v>0</v>
      </c>
      <c r="U83" s="118">
        <f t="shared" si="13"/>
        <v>0</v>
      </c>
      <c r="V83" s="118">
        <f t="shared" si="13"/>
        <v>0</v>
      </c>
      <c r="W83" s="118">
        <f t="shared" si="13"/>
        <v>0</v>
      </c>
      <c r="X83" s="118">
        <f t="shared" si="13"/>
        <v>0</v>
      </c>
      <c r="Y83" s="130">
        <f t="shared" si="9"/>
        <v>0</v>
      </c>
      <c r="Z83" s="113">
        <f t="shared" si="11"/>
        <v>0</v>
      </c>
    </row>
    <row r="84" spans="1:26" hidden="1" x14ac:dyDescent="0.25">
      <c r="A84" s="107"/>
      <c r="B84" s="107"/>
      <c r="C84" s="107"/>
      <c r="D84" s="107"/>
      <c r="E84" s="107" t="s">
        <v>52</v>
      </c>
      <c r="F84" s="107"/>
      <c r="G84" s="107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30"/>
    </row>
    <row r="85" spans="1:26" hidden="1" x14ac:dyDescent="0.25">
      <c r="A85" s="107"/>
      <c r="B85" s="107"/>
      <c r="C85" s="107"/>
      <c r="D85" s="107"/>
      <c r="E85" s="107"/>
      <c r="F85" s="132" t="s">
        <v>53</v>
      </c>
      <c r="G85" s="107"/>
      <c r="H85" s="133">
        <v>0</v>
      </c>
      <c r="I85" s="133">
        <v>0</v>
      </c>
      <c r="J85" s="133">
        <v>0</v>
      </c>
      <c r="K85" s="133">
        <v>0</v>
      </c>
      <c r="L85" s="133">
        <v>0</v>
      </c>
      <c r="M85" s="133">
        <v>0</v>
      </c>
      <c r="N85" s="133">
        <v>0</v>
      </c>
      <c r="O85" s="133">
        <v>0</v>
      </c>
      <c r="P85" s="133">
        <v>0</v>
      </c>
      <c r="Q85" s="133">
        <v>0</v>
      </c>
      <c r="R85" s="133">
        <v>0</v>
      </c>
      <c r="S85" s="133">
        <v>0</v>
      </c>
      <c r="T85" s="133">
        <v>0</v>
      </c>
      <c r="U85" s="133">
        <v>0</v>
      </c>
      <c r="V85" s="133">
        <v>0</v>
      </c>
      <c r="W85" s="133">
        <v>0</v>
      </c>
      <c r="X85" s="133">
        <v>0</v>
      </c>
      <c r="Y85" s="130">
        <f t="shared" si="9"/>
        <v>0</v>
      </c>
      <c r="Z85" s="113">
        <f t="shared" ref="Z85:Z116" si="14">ROUND(Y85-H85,0)</f>
        <v>0</v>
      </c>
    </row>
    <row r="86" spans="1:26" hidden="1" x14ac:dyDescent="0.25">
      <c r="A86" s="107"/>
      <c r="B86" s="107"/>
      <c r="C86" s="107"/>
      <c r="D86" s="107"/>
      <c r="E86" s="107"/>
      <c r="F86" s="132" t="s">
        <v>54</v>
      </c>
      <c r="G86" s="107"/>
      <c r="H86" s="133">
        <v>0</v>
      </c>
      <c r="I86" s="133">
        <v>0</v>
      </c>
      <c r="J86" s="133">
        <v>0</v>
      </c>
      <c r="K86" s="133">
        <v>0</v>
      </c>
      <c r="L86" s="133">
        <v>0</v>
      </c>
      <c r="M86" s="133">
        <v>0</v>
      </c>
      <c r="N86" s="133">
        <v>0</v>
      </c>
      <c r="O86" s="133">
        <v>0</v>
      </c>
      <c r="P86" s="133">
        <v>0</v>
      </c>
      <c r="Q86" s="133">
        <v>0</v>
      </c>
      <c r="R86" s="133">
        <v>0</v>
      </c>
      <c r="S86" s="133">
        <v>0</v>
      </c>
      <c r="T86" s="133">
        <v>0</v>
      </c>
      <c r="U86" s="133">
        <v>0</v>
      </c>
      <c r="V86" s="133">
        <v>0</v>
      </c>
      <c r="W86" s="133">
        <v>0</v>
      </c>
      <c r="X86" s="133">
        <v>0</v>
      </c>
      <c r="Y86" s="130">
        <f t="shared" si="9"/>
        <v>0</v>
      </c>
      <c r="Z86" s="113">
        <f t="shared" si="14"/>
        <v>0</v>
      </c>
    </row>
    <row r="87" spans="1:26" hidden="1" x14ac:dyDescent="0.25">
      <c r="A87" s="107"/>
      <c r="B87" s="107"/>
      <c r="C87" s="107"/>
      <c r="D87" s="107"/>
      <c r="E87" s="107"/>
      <c r="F87" s="132" t="s">
        <v>55</v>
      </c>
      <c r="G87" s="107"/>
      <c r="H87" s="133">
        <v>0</v>
      </c>
      <c r="I87" s="133">
        <v>0</v>
      </c>
      <c r="J87" s="133">
        <v>0</v>
      </c>
      <c r="K87" s="133">
        <v>0</v>
      </c>
      <c r="L87" s="133">
        <v>0</v>
      </c>
      <c r="M87" s="133">
        <v>0</v>
      </c>
      <c r="N87" s="133">
        <v>0</v>
      </c>
      <c r="O87" s="133">
        <v>0</v>
      </c>
      <c r="P87" s="133">
        <v>0</v>
      </c>
      <c r="Q87" s="133">
        <v>0</v>
      </c>
      <c r="R87" s="133">
        <v>0</v>
      </c>
      <c r="S87" s="133">
        <v>0</v>
      </c>
      <c r="T87" s="133">
        <v>0</v>
      </c>
      <c r="U87" s="133">
        <v>0</v>
      </c>
      <c r="V87" s="133">
        <v>0</v>
      </c>
      <c r="W87" s="133">
        <v>0</v>
      </c>
      <c r="X87" s="133">
        <v>0</v>
      </c>
      <c r="Y87" s="130">
        <f t="shared" si="9"/>
        <v>0</v>
      </c>
      <c r="Z87" s="113">
        <f t="shared" si="14"/>
        <v>0</v>
      </c>
    </row>
    <row r="88" spans="1:26" hidden="1" x14ac:dyDescent="0.25">
      <c r="A88" s="107"/>
      <c r="B88" s="107"/>
      <c r="C88" s="107"/>
      <c r="D88" s="107"/>
      <c r="E88" s="107"/>
      <c r="F88" s="132" t="s">
        <v>56</v>
      </c>
      <c r="G88" s="107"/>
      <c r="H88" s="133">
        <v>0</v>
      </c>
      <c r="I88" s="133">
        <v>0</v>
      </c>
      <c r="J88" s="133">
        <v>0</v>
      </c>
      <c r="K88" s="133">
        <v>0</v>
      </c>
      <c r="L88" s="133">
        <v>0</v>
      </c>
      <c r="M88" s="133">
        <v>0</v>
      </c>
      <c r="N88" s="133">
        <v>0</v>
      </c>
      <c r="O88" s="133">
        <v>0</v>
      </c>
      <c r="P88" s="133">
        <v>0</v>
      </c>
      <c r="Q88" s="133">
        <v>0</v>
      </c>
      <c r="R88" s="133">
        <v>0</v>
      </c>
      <c r="S88" s="133">
        <v>0</v>
      </c>
      <c r="T88" s="133">
        <v>0</v>
      </c>
      <c r="U88" s="133">
        <v>0</v>
      </c>
      <c r="V88" s="133">
        <v>0</v>
      </c>
      <c r="W88" s="133">
        <v>0</v>
      </c>
      <c r="X88" s="133">
        <v>0</v>
      </c>
      <c r="Y88" s="130">
        <f t="shared" si="9"/>
        <v>0</v>
      </c>
      <c r="Z88" s="113">
        <f t="shared" si="14"/>
        <v>0</v>
      </c>
    </row>
    <row r="89" spans="1:26" hidden="1" x14ac:dyDescent="0.25">
      <c r="A89" s="107"/>
      <c r="B89" s="107"/>
      <c r="C89" s="107"/>
      <c r="D89" s="107"/>
      <c r="E89" s="107"/>
      <c r="F89" s="132" t="s">
        <v>57</v>
      </c>
      <c r="G89" s="107"/>
      <c r="H89" s="133">
        <v>0</v>
      </c>
      <c r="I89" s="133">
        <v>0</v>
      </c>
      <c r="J89" s="133">
        <v>0</v>
      </c>
      <c r="K89" s="133">
        <v>0</v>
      </c>
      <c r="L89" s="133">
        <v>0</v>
      </c>
      <c r="M89" s="133">
        <v>0</v>
      </c>
      <c r="N89" s="133">
        <v>0</v>
      </c>
      <c r="O89" s="133">
        <v>0</v>
      </c>
      <c r="P89" s="133">
        <v>0</v>
      </c>
      <c r="Q89" s="133">
        <v>0</v>
      </c>
      <c r="R89" s="133">
        <v>0</v>
      </c>
      <c r="S89" s="133">
        <v>0</v>
      </c>
      <c r="T89" s="133">
        <v>0</v>
      </c>
      <c r="U89" s="133">
        <v>0</v>
      </c>
      <c r="V89" s="133">
        <v>0</v>
      </c>
      <c r="W89" s="133">
        <v>0</v>
      </c>
      <c r="X89" s="133">
        <v>0</v>
      </c>
      <c r="Y89" s="130">
        <f t="shared" si="9"/>
        <v>0</v>
      </c>
      <c r="Z89" s="113">
        <f t="shared" si="14"/>
        <v>0</v>
      </c>
    </row>
    <row r="90" spans="1:26" hidden="1" x14ac:dyDescent="0.25">
      <c r="A90" s="107"/>
      <c r="B90" s="107"/>
      <c r="C90" s="107"/>
      <c r="D90" s="107"/>
      <c r="E90" s="107"/>
      <c r="F90" s="132" t="s">
        <v>58</v>
      </c>
      <c r="G90" s="107"/>
      <c r="H90" s="133">
        <v>0</v>
      </c>
      <c r="I90" s="133">
        <v>0</v>
      </c>
      <c r="J90" s="133">
        <v>0</v>
      </c>
      <c r="K90" s="133">
        <v>0</v>
      </c>
      <c r="L90" s="133">
        <v>0</v>
      </c>
      <c r="M90" s="133">
        <v>0</v>
      </c>
      <c r="N90" s="133">
        <v>0</v>
      </c>
      <c r="O90" s="133">
        <v>0</v>
      </c>
      <c r="P90" s="133">
        <v>0</v>
      </c>
      <c r="Q90" s="133">
        <v>0</v>
      </c>
      <c r="R90" s="133">
        <v>0</v>
      </c>
      <c r="S90" s="133">
        <v>0</v>
      </c>
      <c r="T90" s="133">
        <v>0</v>
      </c>
      <c r="U90" s="133">
        <v>0</v>
      </c>
      <c r="V90" s="133">
        <v>0</v>
      </c>
      <c r="W90" s="133">
        <v>0</v>
      </c>
      <c r="X90" s="133">
        <v>0</v>
      </c>
      <c r="Y90" s="130">
        <f t="shared" si="9"/>
        <v>0</v>
      </c>
      <c r="Z90" s="113">
        <f t="shared" si="14"/>
        <v>0</v>
      </c>
    </row>
    <row r="91" spans="1:26" hidden="1" x14ac:dyDescent="0.25">
      <c r="A91" s="107"/>
      <c r="B91" s="107"/>
      <c r="C91" s="107"/>
      <c r="D91" s="107"/>
      <c r="E91" s="107"/>
      <c r="F91" s="132" t="s">
        <v>59</v>
      </c>
      <c r="G91" s="107"/>
      <c r="H91" s="133">
        <v>0</v>
      </c>
      <c r="I91" s="133">
        <v>0</v>
      </c>
      <c r="J91" s="133">
        <v>0</v>
      </c>
      <c r="K91" s="133">
        <v>0</v>
      </c>
      <c r="L91" s="133">
        <v>0</v>
      </c>
      <c r="M91" s="133">
        <v>0</v>
      </c>
      <c r="N91" s="133">
        <v>0</v>
      </c>
      <c r="O91" s="133">
        <v>0</v>
      </c>
      <c r="P91" s="133">
        <v>0</v>
      </c>
      <c r="Q91" s="133">
        <v>0</v>
      </c>
      <c r="R91" s="133">
        <v>0</v>
      </c>
      <c r="S91" s="133">
        <v>0</v>
      </c>
      <c r="T91" s="133">
        <v>0</v>
      </c>
      <c r="U91" s="133">
        <v>0</v>
      </c>
      <c r="V91" s="133">
        <v>0</v>
      </c>
      <c r="W91" s="133">
        <v>0</v>
      </c>
      <c r="X91" s="133">
        <v>0</v>
      </c>
      <c r="Y91" s="130">
        <f t="shared" si="9"/>
        <v>0</v>
      </c>
      <c r="Z91" s="113">
        <f t="shared" si="14"/>
        <v>0</v>
      </c>
    </row>
    <row r="92" spans="1:26" hidden="1" x14ac:dyDescent="0.25">
      <c r="A92" s="107"/>
      <c r="B92" s="107"/>
      <c r="C92" s="107"/>
      <c r="D92" s="107"/>
      <c r="E92" s="107"/>
      <c r="F92" s="132" t="s">
        <v>60</v>
      </c>
      <c r="G92" s="107"/>
      <c r="H92" s="133">
        <v>0</v>
      </c>
      <c r="I92" s="133">
        <v>0</v>
      </c>
      <c r="J92" s="133">
        <v>0</v>
      </c>
      <c r="K92" s="133">
        <v>0</v>
      </c>
      <c r="L92" s="133">
        <v>0</v>
      </c>
      <c r="M92" s="133">
        <v>0</v>
      </c>
      <c r="N92" s="133">
        <v>0</v>
      </c>
      <c r="O92" s="133">
        <v>0</v>
      </c>
      <c r="P92" s="133">
        <v>0</v>
      </c>
      <c r="Q92" s="133">
        <v>0</v>
      </c>
      <c r="R92" s="133">
        <v>0</v>
      </c>
      <c r="S92" s="133">
        <v>0</v>
      </c>
      <c r="T92" s="133">
        <v>0</v>
      </c>
      <c r="U92" s="133">
        <v>0</v>
      </c>
      <c r="V92" s="133">
        <v>0</v>
      </c>
      <c r="W92" s="133">
        <v>0</v>
      </c>
      <c r="X92" s="133">
        <v>0</v>
      </c>
      <c r="Y92" s="130">
        <f t="shared" si="9"/>
        <v>0</v>
      </c>
      <c r="Z92" s="113">
        <f t="shared" si="14"/>
        <v>0</v>
      </c>
    </row>
    <row r="93" spans="1:26" hidden="1" x14ac:dyDescent="0.25">
      <c r="A93" s="107"/>
      <c r="B93" s="107"/>
      <c r="C93" s="107"/>
      <c r="D93" s="107"/>
      <c r="E93" s="107"/>
      <c r="F93" s="132" t="s">
        <v>305</v>
      </c>
      <c r="G93" s="107"/>
      <c r="H93" s="133">
        <v>0</v>
      </c>
      <c r="I93" s="133">
        <v>0</v>
      </c>
      <c r="J93" s="133">
        <v>0</v>
      </c>
      <c r="K93" s="133">
        <v>0</v>
      </c>
      <c r="L93" s="133">
        <v>0</v>
      </c>
      <c r="M93" s="133">
        <v>0</v>
      </c>
      <c r="N93" s="133">
        <v>0</v>
      </c>
      <c r="O93" s="133">
        <v>0</v>
      </c>
      <c r="P93" s="133">
        <v>0</v>
      </c>
      <c r="Q93" s="133">
        <v>0</v>
      </c>
      <c r="R93" s="133">
        <v>0</v>
      </c>
      <c r="S93" s="133">
        <v>0</v>
      </c>
      <c r="T93" s="133">
        <v>0</v>
      </c>
      <c r="U93" s="133">
        <v>0</v>
      </c>
      <c r="V93" s="133">
        <v>0</v>
      </c>
      <c r="W93" s="133">
        <v>0</v>
      </c>
      <c r="X93" s="133">
        <v>0</v>
      </c>
      <c r="Y93" s="130">
        <f t="shared" si="9"/>
        <v>0</v>
      </c>
      <c r="Z93" s="113">
        <f t="shared" si="14"/>
        <v>0</v>
      </c>
    </row>
    <row r="94" spans="1:26" hidden="1" x14ac:dyDescent="0.25">
      <c r="A94" s="107"/>
      <c r="B94" s="107"/>
      <c r="C94" s="107"/>
      <c r="D94" s="107"/>
      <c r="E94" s="107"/>
      <c r="F94" s="132" t="s">
        <v>163</v>
      </c>
      <c r="G94" s="107"/>
      <c r="H94" s="133">
        <v>0</v>
      </c>
      <c r="I94" s="133">
        <v>0</v>
      </c>
      <c r="J94" s="133">
        <v>0</v>
      </c>
      <c r="K94" s="133">
        <v>0</v>
      </c>
      <c r="L94" s="133">
        <v>0</v>
      </c>
      <c r="M94" s="133">
        <v>0</v>
      </c>
      <c r="N94" s="133">
        <v>0</v>
      </c>
      <c r="O94" s="133">
        <v>0</v>
      </c>
      <c r="P94" s="133">
        <v>0</v>
      </c>
      <c r="Q94" s="133">
        <v>0</v>
      </c>
      <c r="R94" s="133">
        <v>0</v>
      </c>
      <c r="S94" s="133">
        <v>0</v>
      </c>
      <c r="T94" s="133">
        <v>0</v>
      </c>
      <c r="U94" s="133">
        <v>0</v>
      </c>
      <c r="V94" s="133">
        <v>0</v>
      </c>
      <c r="W94" s="133">
        <v>0</v>
      </c>
      <c r="X94" s="133">
        <v>0</v>
      </c>
      <c r="Y94" s="130">
        <f t="shared" si="9"/>
        <v>0</v>
      </c>
      <c r="Z94" s="113">
        <f t="shared" si="14"/>
        <v>0</v>
      </c>
    </row>
    <row r="95" spans="1:26" hidden="1" x14ac:dyDescent="0.25">
      <c r="A95" s="107"/>
      <c r="B95" s="107"/>
      <c r="C95" s="107"/>
      <c r="D95" s="107"/>
      <c r="E95" s="107"/>
      <c r="F95" s="132" t="s">
        <v>62</v>
      </c>
      <c r="G95" s="107"/>
      <c r="H95" s="133">
        <v>0</v>
      </c>
      <c r="I95" s="133">
        <v>0</v>
      </c>
      <c r="J95" s="133">
        <v>0</v>
      </c>
      <c r="K95" s="133">
        <v>0</v>
      </c>
      <c r="L95" s="133">
        <v>0</v>
      </c>
      <c r="M95" s="133">
        <v>0</v>
      </c>
      <c r="N95" s="133">
        <v>0</v>
      </c>
      <c r="O95" s="133">
        <v>0</v>
      </c>
      <c r="P95" s="133">
        <v>0</v>
      </c>
      <c r="Q95" s="133">
        <v>0</v>
      </c>
      <c r="R95" s="133">
        <v>0</v>
      </c>
      <c r="S95" s="133">
        <v>0</v>
      </c>
      <c r="T95" s="133">
        <v>0</v>
      </c>
      <c r="U95" s="133">
        <v>0</v>
      </c>
      <c r="V95" s="133">
        <v>0</v>
      </c>
      <c r="W95" s="133">
        <v>0</v>
      </c>
      <c r="X95" s="133">
        <v>0</v>
      </c>
      <c r="Y95" s="130">
        <f t="shared" si="9"/>
        <v>0</v>
      </c>
      <c r="Z95" s="113">
        <f t="shared" si="14"/>
        <v>0</v>
      </c>
    </row>
    <row r="96" spans="1:26" hidden="1" x14ac:dyDescent="0.25">
      <c r="A96" s="107"/>
      <c r="B96" s="107"/>
      <c r="C96" s="107"/>
      <c r="D96" s="107"/>
      <c r="E96" s="107"/>
      <c r="F96" s="132" t="s">
        <v>63</v>
      </c>
      <c r="G96" s="107"/>
      <c r="H96" s="133">
        <v>0</v>
      </c>
      <c r="I96" s="133">
        <v>0</v>
      </c>
      <c r="J96" s="133">
        <v>0</v>
      </c>
      <c r="K96" s="133">
        <v>0</v>
      </c>
      <c r="L96" s="133">
        <v>0</v>
      </c>
      <c r="M96" s="133">
        <v>0</v>
      </c>
      <c r="N96" s="133">
        <v>0</v>
      </c>
      <c r="O96" s="133">
        <v>0</v>
      </c>
      <c r="P96" s="133">
        <v>0</v>
      </c>
      <c r="Q96" s="133">
        <v>0</v>
      </c>
      <c r="R96" s="133">
        <v>0</v>
      </c>
      <c r="S96" s="133">
        <v>0</v>
      </c>
      <c r="T96" s="133">
        <v>0</v>
      </c>
      <c r="U96" s="133">
        <v>0</v>
      </c>
      <c r="V96" s="133">
        <v>0</v>
      </c>
      <c r="W96" s="133">
        <v>0</v>
      </c>
      <c r="X96" s="133">
        <v>0</v>
      </c>
      <c r="Y96" s="130">
        <f t="shared" si="9"/>
        <v>0</v>
      </c>
      <c r="Z96" s="113">
        <f t="shared" si="14"/>
        <v>0</v>
      </c>
    </row>
    <row r="97" spans="1:26" hidden="1" x14ac:dyDescent="0.25">
      <c r="A97" s="107"/>
      <c r="B97" s="107"/>
      <c r="C97" s="107"/>
      <c r="D97" s="107"/>
      <c r="E97" s="107"/>
      <c r="F97" s="132" t="s">
        <v>64</v>
      </c>
      <c r="G97" s="107"/>
      <c r="H97" s="133">
        <v>0</v>
      </c>
      <c r="I97" s="133">
        <v>0</v>
      </c>
      <c r="J97" s="133">
        <v>0</v>
      </c>
      <c r="K97" s="133">
        <v>0</v>
      </c>
      <c r="L97" s="133">
        <v>0</v>
      </c>
      <c r="M97" s="133">
        <v>0</v>
      </c>
      <c r="N97" s="133">
        <v>0</v>
      </c>
      <c r="O97" s="133">
        <v>0</v>
      </c>
      <c r="P97" s="133">
        <v>0</v>
      </c>
      <c r="Q97" s="133">
        <v>0</v>
      </c>
      <c r="R97" s="133">
        <v>0</v>
      </c>
      <c r="S97" s="133">
        <v>0</v>
      </c>
      <c r="T97" s="133">
        <v>0</v>
      </c>
      <c r="U97" s="133">
        <v>0</v>
      </c>
      <c r="V97" s="133">
        <v>0</v>
      </c>
      <c r="W97" s="133">
        <v>0</v>
      </c>
      <c r="X97" s="133">
        <v>0</v>
      </c>
      <c r="Y97" s="130">
        <f t="shared" si="9"/>
        <v>0</v>
      </c>
      <c r="Z97" s="113">
        <f t="shared" si="14"/>
        <v>0</v>
      </c>
    </row>
    <row r="98" spans="1:26" hidden="1" x14ac:dyDescent="0.25">
      <c r="A98" s="107"/>
      <c r="B98" s="107"/>
      <c r="C98" s="107"/>
      <c r="D98" s="107"/>
      <c r="E98" s="107"/>
      <c r="F98" s="132" t="s">
        <v>65</v>
      </c>
      <c r="G98" s="107"/>
      <c r="H98" s="133">
        <v>0</v>
      </c>
      <c r="I98" s="133">
        <v>0</v>
      </c>
      <c r="J98" s="133">
        <v>0</v>
      </c>
      <c r="K98" s="133">
        <v>0</v>
      </c>
      <c r="L98" s="133">
        <v>0</v>
      </c>
      <c r="M98" s="133">
        <v>0</v>
      </c>
      <c r="N98" s="133">
        <v>0</v>
      </c>
      <c r="O98" s="133">
        <v>0</v>
      </c>
      <c r="P98" s="133">
        <v>0</v>
      </c>
      <c r="Q98" s="133">
        <v>0</v>
      </c>
      <c r="R98" s="133">
        <v>0</v>
      </c>
      <c r="S98" s="133">
        <v>0</v>
      </c>
      <c r="T98" s="133">
        <v>0</v>
      </c>
      <c r="U98" s="133">
        <v>0</v>
      </c>
      <c r="V98" s="133">
        <v>0</v>
      </c>
      <c r="W98" s="133">
        <v>0</v>
      </c>
      <c r="X98" s="133">
        <v>0</v>
      </c>
      <c r="Y98" s="130">
        <f t="shared" si="9"/>
        <v>0</v>
      </c>
      <c r="Z98" s="113">
        <f t="shared" si="14"/>
        <v>0</v>
      </c>
    </row>
    <row r="99" spans="1:26" hidden="1" x14ac:dyDescent="0.25">
      <c r="A99" s="107"/>
      <c r="B99" s="107"/>
      <c r="C99" s="107"/>
      <c r="D99" s="107"/>
      <c r="E99" s="107"/>
      <c r="F99" s="132" t="s">
        <v>66</v>
      </c>
      <c r="G99" s="107"/>
      <c r="H99" s="133">
        <v>0</v>
      </c>
      <c r="I99" s="133">
        <v>0</v>
      </c>
      <c r="J99" s="133">
        <v>0</v>
      </c>
      <c r="K99" s="133">
        <v>0</v>
      </c>
      <c r="L99" s="133">
        <v>0</v>
      </c>
      <c r="M99" s="133">
        <v>0</v>
      </c>
      <c r="N99" s="133">
        <v>0</v>
      </c>
      <c r="O99" s="133">
        <v>0</v>
      </c>
      <c r="P99" s="133">
        <v>0</v>
      </c>
      <c r="Q99" s="133">
        <v>0</v>
      </c>
      <c r="R99" s="133">
        <v>0</v>
      </c>
      <c r="S99" s="133">
        <v>0</v>
      </c>
      <c r="T99" s="133">
        <v>0</v>
      </c>
      <c r="U99" s="133">
        <v>0</v>
      </c>
      <c r="V99" s="133">
        <v>0</v>
      </c>
      <c r="W99" s="133">
        <v>0</v>
      </c>
      <c r="X99" s="133">
        <v>0</v>
      </c>
      <c r="Y99" s="130">
        <f t="shared" si="9"/>
        <v>0</v>
      </c>
      <c r="Z99" s="113">
        <f t="shared" si="14"/>
        <v>0</v>
      </c>
    </row>
    <row r="100" spans="1:26" hidden="1" x14ac:dyDescent="0.25">
      <c r="A100" s="107"/>
      <c r="B100" s="107"/>
      <c r="C100" s="107"/>
      <c r="D100" s="107"/>
      <c r="E100" s="107"/>
      <c r="F100" s="132" t="s">
        <v>67</v>
      </c>
      <c r="G100" s="107"/>
      <c r="H100" s="133">
        <v>0</v>
      </c>
      <c r="I100" s="133">
        <v>0</v>
      </c>
      <c r="J100" s="133">
        <v>0</v>
      </c>
      <c r="K100" s="133">
        <v>0</v>
      </c>
      <c r="L100" s="133">
        <v>0</v>
      </c>
      <c r="M100" s="133">
        <v>0</v>
      </c>
      <c r="N100" s="133">
        <v>0</v>
      </c>
      <c r="O100" s="133">
        <v>0</v>
      </c>
      <c r="P100" s="133">
        <v>0</v>
      </c>
      <c r="Q100" s="133">
        <v>0</v>
      </c>
      <c r="R100" s="133">
        <v>0</v>
      </c>
      <c r="S100" s="133">
        <v>0</v>
      </c>
      <c r="T100" s="133">
        <v>0</v>
      </c>
      <c r="U100" s="133">
        <v>0</v>
      </c>
      <c r="V100" s="133">
        <v>0</v>
      </c>
      <c r="W100" s="133">
        <v>0</v>
      </c>
      <c r="X100" s="133">
        <v>0</v>
      </c>
      <c r="Y100" s="130">
        <f t="shared" si="9"/>
        <v>0</v>
      </c>
      <c r="Z100" s="113">
        <f t="shared" si="14"/>
        <v>0</v>
      </c>
    </row>
    <row r="101" spans="1:26" hidden="1" x14ac:dyDescent="0.25">
      <c r="A101" s="107"/>
      <c r="B101" s="107"/>
      <c r="C101" s="107"/>
      <c r="D101" s="107"/>
      <c r="E101" s="107"/>
      <c r="F101" s="132" t="s">
        <v>68</v>
      </c>
      <c r="G101" s="107"/>
      <c r="H101" s="133">
        <v>0</v>
      </c>
      <c r="I101" s="133">
        <v>0</v>
      </c>
      <c r="J101" s="133">
        <v>0</v>
      </c>
      <c r="K101" s="133">
        <v>0</v>
      </c>
      <c r="L101" s="133">
        <v>0</v>
      </c>
      <c r="M101" s="133">
        <v>0</v>
      </c>
      <c r="N101" s="133">
        <v>0</v>
      </c>
      <c r="O101" s="133">
        <v>0</v>
      </c>
      <c r="P101" s="133">
        <v>0</v>
      </c>
      <c r="Q101" s="133">
        <v>0</v>
      </c>
      <c r="R101" s="133">
        <v>0</v>
      </c>
      <c r="S101" s="133">
        <v>0</v>
      </c>
      <c r="T101" s="133">
        <v>0</v>
      </c>
      <c r="U101" s="133">
        <v>0</v>
      </c>
      <c r="V101" s="133">
        <v>0</v>
      </c>
      <c r="W101" s="133">
        <v>0</v>
      </c>
      <c r="X101" s="133">
        <v>0</v>
      </c>
      <c r="Y101" s="130">
        <f t="shared" si="9"/>
        <v>0</v>
      </c>
      <c r="Z101" s="113">
        <f t="shared" si="14"/>
        <v>0</v>
      </c>
    </row>
    <row r="102" spans="1:26" hidden="1" x14ac:dyDescent="0.25">
      <c r="A102" s="107"/>
      <c r="B102" s="107"/>
      <c r="C102" s="107"/>
      <c r="D102" s="107"/>
      <c r="E102" s="107"/>
      <c r="F102" s="132" t="s">
        <v>69</v>
      </c>
      <c r="G102" s="107"/>
      <c r="H102" s="133">
        <v>0</v>
      </c>
      <c r="I102" s="133">
        <v>0</v>
      </c>
      <c r="J102" s="133">
        <v>0</v>
      </c>
      <c r="K102" s="133">
        <v>0</v>
      </c>
      <c r="L102" s="133">
        <v>0</v>
      </c>
      <c r="M102" s="133">
        <v>0</v>
      </c>
      <c r="N102" s="133">
        <v>0</v>
      </c>
      <c r="O102" s="133">
        <v>0</v>
      </c>
      <c r="P102" s="133">
        <v>0</v>
      </c>
      <c r="Q102" s="133">
        <v>0</v>
      </c>
      <c r="R102" s="133">
        <v>0</v>
      </c>
      <c r="S102" s="133">
        <v>0</v>
      </c>
      <c r="T102" s="133">
        <v>0</v>
      </c>
      <c r="U102" s="133">
        <v>0</v>
      </c>
      <c r="V102" s="133">
        <v>0</v>
      </c>
      <c r="W102" s="133">
        <v>0</v>
      </c>
      <c r="X102" s="133">
        <v>0</v>
      </c>
      <c r="Y102" s="130">
        <f t="shared" si="9"/>
        <v>0</v>
      </c>
      <c r="Z102" s="113">
        <f t="shared" si="14"/>
        <v>0</v>
      </c>
    </row>
    <row r="103" spans="1:26" hidden="1" x14ac:dyDescent="0.25">
      <c r="A103" s="107"/>
      <c r="B103" s="107"/>
      <c r="C103" s="107"/>
      <c r="D103" s="107"/>
      <c r="E103" s="107"/>
      <c r="F103" s="132" t="s">
        <v>70</v>
      </c>
      <c r="G103" s="107"/>
      <c r="H103" s="133">
        <v>0</v>
      </c>
      <c r="I103" s="133">
        <v>0</v>
      </c>
      <c r="J103" s="133">
        <v>0</v>
      </c>
      <c r="K103" s="133">
        <v>0</v>
      </c>
      <c r="L103" s="133">
        <v>0</v>
      </c>
      <c r="M103" s="133">
        <v>0</v>
      </c>
      <c r="N103" s="133">
        <v>0</v>
      </c>
      <c r="O103" s="133">
        <v>0</v>
      </c>
      <c r="P103" s="133">
        <v>0</v>
      </c>
      <c r="Q103" s="133">
        <v>0</v>
      </c>
      <c r="R103" s="133">
        <v>0</v>
      </c>
      <c r="S103" s="133">
        <v>0</v>
      </c>
      <c r="T103" s="133">
        <v>0</v>
      </c>
      <c r="U103" s="133">
        <v>0</v>
      </c>
      <c r="V103" s="133">
        <v>0</v>
      </c>
      <c r="W103" s="133">
        <v>0</v>
      </c>
      <c r="X103" s="133">
        <v>0</v>
      </c>
      <c r="Y103" s="130">
        <f t="shared" si="9"/>
        <v>0</v>
      </c>
      <c r="Z103" s="113">
        <f t="shared" si="14"/>
        <v>0</v>
      </c>
    </row>
    <row r="104" spans="1:26" hidden="1" x14ac:dyDescent="0.25">
      <c r="A104" s="107"/>
      <c r="B104" s="107"/>
      <c r="C104" s="107"/>
      <c r="D104" s="107"/>
      <c r="E104" s="107"/>
      <c r="F104" s="132" t="s">
        <v>71</v>
      </c>
      <c r="G104" s="107"/>
      <c r="H104" s="133">
        <v>0</v>
      </c>
      <c r="I104" s="133">
        <v>0</v>
      </c>
      <c r="J104" s="133">
        <v>0</v>
      </c>
      <c r="K104" s="133">
        <v>0</v>
      </c>
      <c r="L104" s="133">
        <v>0</v>
      </c>
      <c r="M104" s="133">
        <v>0</v>
      </c>
      <c r="N104" s="133">
        <v>0</v>
      </c>
      <c r="O104" s="133">
        <v>0</v>
      </c>
      <c r="P104" s="133">
        <v>0</v>
      </c>
      <c r="Q104" s="133">
        <v>0</v>
      </c>
      <c r="R104" s="133">
        <v>0</v>
      </c>
      <c r="S104" s="133">
        <v>0</v>
      </c>
      <c r="T104" s="133">
        <v>0</v>
      </c>
      <c r="U104" s="133">
        <v>0</v>
      </c>
      <c r="V104" s="133">
        <v>0</v>
      </c>
      <c r="W104" s="133">
        <v>0</v>
      </c>
      <c r="X104" s="133">
        <v>0</v>
      </c>
      <c r="Y104" s="130">
        <f t="shared" si="9"/>
        <v>0</v>
      </c>
      <c r="Z104" s="113">
        <f t="shared" si="14"/>
        <v>0</v>
      </c>
    </row>
    <row r="105" spans="1:26" hidden="1" x14ac:dyDescent="0.25">
      <c r="A105" s="107"/>
      <c r="B105" s="107"/>
      <c r="C105" s="107"/>
      <c r="D105" s="107"/>
      <c r="E105" s="107"/>
      <c r="F105" s="132" t="s">
        <v>72</v>
      </c>
      <c r="G105" s="107"/>
      <c r="H105" s="133">
        <v>0</v>
      </c>
      <c r="I105" s="133">
        <v>0</v>
      </c>
      <c r="J105" s="133">
        <v>0</v>
      </c>
      <c r="K105" s="133">
        <v>0</v>
      </c>
      <c r="L105" s="133">
        <v>0</v>
      </c>
      <c r="M105" s="133">
        <v>0</v>
      </c>
      <c r="N105" s="133">
        <v>0</v>
      </c>
      <c r="O105" s="133">
        <v>0</v>
      </c>
      <c r="P105" s="133">
        <v>0</v>
      </c>
      <c r="Q105" s="133">
        <v>0</v>
      </c>
      <c r="R105" s="133">
        <v>0</v>
      </c>
      <c r="S105" s="133">
        <v>0</v>
      </c>
      <c r="T105" s="133">
        <v>0</v>
      </c>
      <c r="U105" s="133">
        <v>0</v>
      </c>
      <c r="V105" s="133">
        <v>0</v>
      </c>
      <c r="W105" s="133">
        <v>0</v>
      </c>
      <c r="X105" s="133">
        <v>0</v>
      </c>
      <c r="Y105" s="130">
        <f t="shared" si="9"/>
        <v>0</v>
      </c>
      <c r="Z105" s="113">
        <f t="shared" si="14"/>
        <v>0</v>
      </c>
    </row>
    <row r="106" spans="1:26" hidden="1" x14ac:dyDescent="0.25">
      <c r="A106" s="107"/>
      <c r="B106" s="107"/>
      <c r="C106" s="107"/>
      <c r="D106" s="107"/>
      <c r="E106" s="107"/>
      <c r="F106" s="132" t="s">
        <v>73</v>
      </c>
      <c r="G106" s="107"/>
      <c r="H106" s="133">
        <v>0</v>
      </c>
      <c r="I106" s="133">
        <v>0</v>
      </c>
      <c r="J106" s="133">
        <v>0</v>
      </c>
      <c r="K106" s="133">
        <v>0</v>
      </c>
      <c r="L106" s="133">
        <v>0</v>
      </c>
      <c r="M106" s="133">
        <v>0</v>
      </c>
      <c r="N106" s="133">
        <v>0</v>
      </c>
      <c r="O106" s="133">
        <v>0</v>
      </c>
      <c r="P106" s="133">
        <v>0</v>
      </c>
      <c r="Q106" s="133">
        <v>0</v>
      </c>
      <c r="R106" s="133">
        <v>0</v>
      </c>
      <c r="S106" s="133">
        <v>0</v>
      </c>
      <c r="T106" s="133">
        <v>0</v>
      </c>
      <c r="U106" s="133">
        <v>0</v>
      </c>
      <c r="V106" s="133">
        <v>0</v>
      </c>
      <c r="W106" s="133">
        <v>0</v>
      </c>
      <c r="X106" s="133">
        <v>0</v>
      </c>
      <c r="Y106" s="130">
        <f t="shared" si="9"/>
        <v>0</v>
      </c>
      <c r="Z106" s="113">
        <f t="shared" si="14"/>
        <v>0</v>
      </c>
    </row>
    <row r="107" spans="1:26" hidden="1" x14ac:dyDescent="0.25">
      <c r="A107" s="107"/>
      <c r="B107" s="107"/>
      <c r="C107" s="107"/>
      <c r="D107" s="107"/>
      <c r="E107" s="107"/>
      <c r="F107" s="132" t="s">
        <v>74</v>
      </c>
      <c r="G107" s="107"/>
      <c r="H107" s="133">
        <v>0</v>
      </c>
      <c r="I107" s="133">
        <v>0</v>
      </c>
      <c r="J107" s="133">
        <v>0</v>
      </c>
      <c r="K107" s="133">
        <v>0</v>
      </c>
      <c r="L107" s="133">
        <v>0</v>
      </c>
      <c r="M107" s="133">
        <v>0</v>
      </c>
      <c r="N107" s="133">
        <v>0</v>
      </c>
      <c r="O107" s="133">
        <v>0</v>
      </c>
      <c r="P107" s="133">
        <v>0</v>
      </c>
      <c r="Q107" s="133">
        <v>0</v>
      </c>
      <c r="R107" s="133">
        <v>0</v>
      </c>
      <c r="S107" s="133">
        <v>0</v>
      </c>
      <c r="T107" s="133">
        <v>0</v>
      </c>
      <c r="U107" s="133">
        <v>0</v>
      </c>
      <c r="V107" s="133">
        <v>0</v>
      </c>
      <c r="W107" s="133">
        <v>0</v>
      </c>
      <c r="X107" s="133">
        <v>0</v>
      </c>
      <c r="Y107" s="130">
        <f t="shared" si="9"/>
        <v>0</v>
      </c>
      <c r="Z107" s="113">
        <f t="shared" si="14"/>
        <v>0</v>
      </c>
    </row>
    <row r="108" spans="1:26" hidden="1" x14ac:dyDescent="0.25">
      <c r="A108" s="107"/>
      <c r="B108" s="107"/>
      <c r="C108" s="107"/>
      <c r="D108" s="107"/>
      <c r="E108" s="107"/>
      <c r="F108" s="132" t="s">
        <v>75</v>
      </c>
      <c r="G108" s="107"/>
      <c r="H108" s="133">
        <v>0</v>
      </c>
      <c r="I108" s="133">
        <v>0</v>
      </c>
      <c r="J108" s="133">
        <v>0</v>
      </c>
      <c r="K108" s="133">
        <v>0</v>
      </c>
      <c r="L108" s="133">
        <v>0</v>
      </c>
      <c r="M108" s="133">
        <v>0</v>
      </c>
      <c r="N108" s="133">
        <v>0</v>
      </c>
      <c r="O108" s="133">
        <v>0</v>
      </c>
      <c r="P108" s="133">
        <v>0</v>
      </c>
      <c r="Q108" s="133">
        <v>0</v>
      </c>
      <c r="R108" s="133">
        <v>0</v>
      </c>
      <c r="S108" s="133">
        <v>0</v>
      </c>
      <c r="T108" s="133">
        <v>0</v>
      </c>
      <c r="U108" s="133">
        <v>0</v>
      </c>
      <c r="V108" s="133">
        <v>0</v>
      </c>
      <c r="W108" s="133">
        <v>0</v>
      </c>
      <c r="X108" s="133">
        <v>0</v>
      </c>
      <c r="Y108" s="130">
        <f t="shared" si="9"/>
        <v>0</v>
      </c>
      <c r="Z108" s="113">
        <f t="shared" si="14"/>
        <v>0</v>
      </c>
    </row>
    <row r="109" spans="1:26" hidden="1" x14ac:dyDescent="0.25">
      <c r="A109" s="107"/>
      <c r="B109" s="107"/>
      <c r="C109" s="107"/>
      <c r="D109" s="107"/>
      <c r="E109" s="107"/>
      <c r="F109" s="132" t="s">
        <v>76</v>
      </c>
      <c r="G109" s="107"/>
      <c r="H109" s="133">
        <v>0</v>
      </c>
      <c r="I109" s="133">
        <v>0</v>
      </c>
      <c r="J109" s="133">
        <v>0</v>
      </c>
      <c r="K109" s="133">
        <v>0</v>
      </c>
      <c r="L109" s="133">
        <v>0</v>
      </c>
      <c r="M109" s="133">
        <v>0</v>
      </c>
      <c r="N109" s="133">
        <v>0</v>
      </c>
      <c r="O109" s="133">
        <v>0</v>
      </c>
      <c r="P109" s="133">
        <v>0</v>
      </c>
      <c r="Q109" s="133">
        <v>0</v>
      </c>
      <c r="R109" s="133">
        <v>0</v>
      </c>
      <c r="S109" s="133">
        <v>0</v>
      </c>
      <c r="T109" s="133">
        <v>0</v>
      </c>
      <c r="U109" s="133">
        <v>0</v>
      </c>
      <c r="V109" s="133">
        <v>0</v>
      </c>
      <c r="W109" s="133">
        <v>0</v>
      </c>
      <c r="X109" s="133">
        <v>0</v>
      </c>
      <c r="Y109" s="130">
        <f t="shared" si="9"/>
        <v>0</v>
      </c>
      <c r="Z109" s="113">
        <f t="shared" si="14"/>
        <v>0</v>
      </c>
    </row>
    <row r="110" spans="1:26" hidden="1" x14ac:dyDescent="0.25">
      <c r="A110" s="107"/>
      <c r="B110" s="107"/>
      <c r="C110" s="107"/>
      <c r="D110" s="107"/>
      <c r="E110" s="107"/>
      <c r="F110" s="132" t="s">
        <v>77</v>
      </c>
      <c r="G110" s="107"/>
      <c r="H110" s="133">
        <v>0</v>
      </c>
      <c r="I110" s="133">
        <v>0</v>
      </c>
      <c r="J110" s="133">
        <v>0</v>
      </c>
      <c r="K110" s="133">
        <v>0</v>
      </c>
      <c r="L110" s="133">
        <v>0</v>
      </c>
      <c r="M110" s="133">
        <v>0</v>
      </c>
      <c r="N110" s="133">
        <v>0</v>
      </c>
      <c r="O110" s="133">
        <v>0</v>
      </c>
      <c r="P110" s="133">
        <v>0</v>
      </c>
      <c r="Q110" s="133">
        <v>0</v>
      </c>
      <c r="R110" s="133">
        <v>0</v>
      </c>
      <c r="S110" s="133">
        <v>0</v>
      </c>
      <c r="T110" s="133">
        <v>0</v>
      </c>
      <c r="U110" s="133">
        <v>0</v>
      </c>
      <c r="V110" s="133">
        <v>0</v>
      </c>
      <c r="W110" s="133">
        <v>0</v>
      </c>
      <c r="X110" s="133">
        <v>0</v>
      </c>
      <c r="Y110" s="130">
        <f t="shared" si="9"/>
        <v>0</v>
      </c>
      <c r="Z110" s="113">
        <f t="shared" si="14"/>
        <v>0</v>
      </c>
    </row>
    <row r="111" spans="1:26" hidden="1" x14ac:dyDescent="0.25">
      <c r="A111" s="107"/>
      <c r="B111" s="107"/>
      <c r="C111" s="107"/>
      <c r="D111" s="107"/>
      <c r="E111" s="107"/>
      <c r="F111" s="132" t="s">
        <v>78</v>
      </c>
      <c r="G111" s="107"/>
      <c r="H111" s="133">
        <v>0</v>
      </c>
      <c r="I111" s="133">
        <v>0</v>
      </c>
      <c r="J111" s="133">
        <v>0</v>
      </c>
      <c r="K111" s="133">
        <v>0</v>
      </c>
      <c r="L111" s="133">
        <v>0</v>
      </c>
      <c r="M111" s="133">
        <v>0</v>
      </c>
      <c r="N111" s="133">
        <v>0</v>
      </c>
      <c r="O111" s="133">
        <v>0</v>
      </c>
      <c r="P111" s="133">
        <v>0</v>
      </c>
      <c r="Q111" s="133">
        <v>0</v>
      </c>
      <c r="R111" s="133">
        <v>0</v>
      </c>
      <c r="S111" s="133">
        <v>0</v>
      </c>
      <c r="T111" s="133">
        <v>0</v>
      </c>
      <c r="U111" s="133">
        <v>0</v>
      </c>
      <c r="V111" s="133">
        <v>0</v>
      </c>
      <c r="W111" s="133">
        <v>0</v>
      </c>
      <c r="X111" s="133">
        <v>0</v>
      </c>
      <c r="Y111" s="130">
        <f t="shared" si="9"/>
        <v>0</v>
      </c>
      <c r="Z111" s="113">
        <f t="shared" si="14"/>
        <v>0</v>
      </c>
    </row>
    <row r="112" spans="1:26" hidden="1" x14ac:dyDescent="0.25">
      <c r="A112" s="107"/>
      <c r="B112" s="107"/>
      <c r="C112" s="107"/>
      <c r="D112" s="107"/>
      <c r="E112" s="107"/>
      <c r="F112" s="132" t="s">
        <v>79</v>
      </c>
      <c r="G112" s="107"/>
      <c r="H112" s="133">
        <v>0</v>
      </c>
      <c r="I112" s="133">
        <v>0</v>
      </c>
      <c r="J112" s="133">
        <v>0</v>
      </c>
      <c r="K112" s="133">
        <v>0</v>
      </c>
      <c r="L112" s="133">
        <v>0</v>
      </c>
      <c r="M112" s="133">
        <v>0</v>
      </c>
      <c r="N112" s="133">
        <v>0</v>
      </c>
      <c r="O112" s="133">
        <v>0</v>
      </c>
      <c r="P112" s="133">
        <v>0</v>
      </c>
      <c r="Q112" s="133">
        <v>0</v>
      </c>
      <c r="R112" s="133">
        <v>0</v>
      </c>
      <c r="S112" s="133">
        <v>0</v>
      </c>
      <c r="T112" s="133">
        <v>0</v>
      </c>
      <c r="U112" s="133">
        <v>0</v>
      </c>
      <c r="V112" s="133">
        <v>0</v>
      </c>
      <c r="W112" s="133">
        <v>0</v>
      </c>
      <c r="X112" s="133">
        <v>0</v>
      </c>
      <c r="Y112" s="130">
        <f t="shared" si="9"/>
        <v>0</v>
      </c>
      <c r="Z112" s="113">
        <f t="shared" si="14"/>
        <v>0</v>
      </c>
    </row>
    <row r="113" spans="1:26" hidden="1" x14ac:dyDescent="0.25">
      <c r="A113" s="107"/>
      <c r="B113" s="107"/>
      <c r="C113" s="107"/>
      <c r="D113" s="107"/>
      <c r="E113" s="107"/>
      <c r="F113" s="132" t="s">
        <v>80</v>
      </c>
      <c r="G113" s="107"/>
      <c r="H113" s="133">
        <v>0</v>
      </c>
      <c r="I113" s="133">
        <v>0</v>
      </c>
      <c r="J113" s="133">
        <v>0</v>
      </c>
      <c r="K113" s="133">
        <v>0</v>
      </c>
      <c r="L113" s="133">
        <v>0</v>
      </c>
      <c r="M113" s="133">
        <v>0</v>
      </c>
      <c r="N113" s="133">
        <v>0</v>
      </c>
      <c r="O113" s="133">
        <v>0</v>
      </c>
      <c r="P113" s="133">
        <v>0</v>
      </c>
      <c r="Q113" s="133">
        <v>0</v>
      </c>
      <c r="R113" s="133">
        <v>0</v>
      </c>
      <c r="S113" s="133">
        <v>0</v>
      </c>
      <c r="T113" s="133">
        <v>0</v>
      </c>
      <c r="U113" s="133">
        <v>0</v>
      </c>
      <c r="V113" s="133">
        <v>0</v>
      </c>
      <c r="W113" s="133">
        <v>0</v>
      </c>
      <c r="X113" s="133">
        <v>0</v>
      </c>
      <c r="Y113" s="130">
        <f t="shared" si="9"/>
        <v>0</v>
      </c>
      <c r="Z113" s="113">
        <f t="shared" si="14"/>
        <v>0</v>
      </c>
    </row>
    <row r="114" spans="1:26" hidden="1" x14ac:dyDescent="0.25">
      <c r="A114" s="107"/>
      <c r="B114" s="107"/>
      <c r="C114" s="107"/>
      <c r="D114" s="107"/>
      <c r="E114" s="107"/>
      <c r="F114" s="132" t="s">
        <v>81</v>
      </c>
      <c r="G114" s="107"/>
      <c r="H114" s="133">
        <v>0</v>
      </c>
      <c r="I114" s="133">
        <v>0</v>
      </c>
      <c r="J114" s="133">
        <v>0</v>
      </c>
      <c r="K114" s="133">
        <v>0</v>
      </c>
      <c r="L114" s="133">
        <v>0</v>
      </c>
      <c r="M114" s="133">
        <v>0</v>
      </c>
      <c r="N114" s="133">
        <v>0</v>
      </c>
      <c r="O114" s="133">
        <v>0</v>
      </c>
      <c r="P114" s="133">
        <v>0</v>
      </c>
      <c r="Q114" s="133">
        <v>0</v>
      </c>
      <c r="R114" s="133">
        <v>0</v>
      </c>
      <c r="S114" s="133">
        <v>0</v>
      </c>
      <c r="T114" s="133">
        <v>0</v>
      </c>
      <c r="U114" s="133">
        <v>0</v>
      </c>
      <c r="V114" s="133">
        <v>0</v>
      </c>
      <c r="W114" s="133">
        <v>0</v>
      </c>
      <c r="X114" s="133">
        <v>0</v>
      </c>
      <c r="Y114" s="130">
        <f t="shared" si="9"/>
        <v>0</v>
      </c>
      <c r="Z114" s="113">
        <f t="shared" si="14"/>
        <v>0</v>
      </c>
    </row>
    <row r="115" spans="1:26" ht="15.75" hidden="1" thickBot="1" x14ac:dyDescent="0.3">
      <c r="A115" s="107"/>
      <c r="B115" s="107"/>
      <c r="C115" s="107"/>
      <c r="D115" s="107"/>
      <c r="E115" s="107"/>
      <c r="F115" s="132" t="s">
        <v>82</v>
      </c>
      <c r="G115" s="107"/>
      <c r="H115" s="134">
        <v>0</v>
      </c>
      <c r="I115" s="134">
        <v>0</v>
      </c>
      <c r="J115" s="134">
        <v>0</v>
      </c>
      <c r="K115" s="134">
        <v>0</v>
      </c>
      <c r="L115" s="134">
        <v>0</v>
      </c>
      <c r="M115" s="134">
        <v>0</v>
      </c>
      <c r="N115" s="134">
        <v>0</v>
      </c>
      <c r="O115" s="134">
        <v>0</v>
      </c>
      <c r="P115" s="134">
        <v>0</v>
      </c>
      <c r="Q115" s="134">
        <v>0</v>
      </c>
      <c r="R115" s="134">
        <v>0</v>
      </c>
      <c r="S115" s="134">
        <v>0</v>
      </c>
      <c r="T115" s="134">
        <v>0</v>
      </c>
      <c r="U115" s="134">
        <v>0</v>
      </c>
      <c r="V115" s="134">
        <v>0</v>
      </c>
      <c r="W115" s="134">
        <v>0</v>
      </c>
      <c r="X115" s="134">
        <v>0</v>
      </c>
      <c r="Y115" s="135">
        <f t="shared" si="9"/>
        <v>0</v>
      </c>
      <c r="Z115" s="113">
        <f t="shared" si="14"/>
        <v>0</v>
      </c>
    </row>
    <row r="116" spans="1:26" hidden="1" x14ac:dyDescent="0.25">
      <c r="A116" s="107"/>
      <c r="B116" s="107"/>
      <c r="C116" s="107"/>
      <c r="D116" s="107"/>
      <c r="E116" s="107" t="s">
        <v>83</v>
      </c>
      <c r="F116" s="107"/>
      <c r="G116" s="107"/>
      <c r="H116" s="118">
        <f>ROUND(SUM(H85:H115),5)</f>
        <v>0</v>
      </c>
      <c r="I116" s="118">
        <f t="shared" ref="I116:Y116" si="15">ROUND(SUM(I85:I115),5)</f>
        <v>0</v>
      </c>
      <c r="J116" s="118">
        <f t="shared" si="15"/>
        <v>0</v>
      </c>
      <c r="K116" s="118">
        <f t="shared" si="15"/>
        <v>0</v>
      </c>
      <c r="L116" s="118">
        <f t="shared" si="15"/>
        <v>0</v>
      </c>
      <c r="M116" s="118">
        <f t="shared" si="15"/>
        <v>0</v>
      </c>
      <c r="N116" s="118">
        <f t="shared" si="15"/>
        <v>0</v>
      </c>
      <c r="O116" s="118">
        <f t="shared" si="15"/>
        <v>0</v>
      </c>
      <c r="P116" s="118">
        <f t="shared" si="15"/>
        <v>0</v>
      </c>
      <c r="Q116" s="118">
        <f t="shared" si="15"/>
        <v>0</v>
      </c>
      <c r="R116" s="118">
        <f t="shared" si="15"/>
        <v>0</v>
      </c>
      <c r="S116" s="118">
        <f t="shared" si="15"/>
        <v>0</v>
      </c>
      <c r="T116" s="118">
        <f t="shared" si="15"/>
        <v>0</v>
      </c>
      <c r="U116" s="118">
        <f t="shared" si="15"/>
        <v>0</v>
      </c>
      <c r="V116" s="118">
        <f t="shared" si="15"/>
        <v>0</v>
      </c>
      <c r="W116" s="118">
        <f t="shared" si="15"/>
        <v>0</v>
      </c>
      <c r="X116" s="118">
        <f t="shared" si="15"/>
        <v>0</v>
      </c>
      <c r="Y116" s="118">
        <f t="shared" si="15"/>
        <v>0</v>
      </c>
      <c r="Z116" s="113">
        <f t="shared" si="14"/>
        <v>0</v>
      </c>
    </row>
    <row r="117" spans="1:26" x14ac:dyDescent="0.25">
      <c r="A117" s="107"/>
      <c r="B117" s="107"/>
      <c r="C117" s="107"/>
      <c r="D117" s="107"/>
      <c r="E117" s="107" t="s">
        <v>84</v>
      </c>
      <c r="F117" s="107"/>
      <c r="G117" s="107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30"/>
    </row>
    <row r="118" spans="1:26" x14ac:dyDescent="0.25">
      <c r="A118" s="107"/>
      <c r="B118" s="107"/>
      <c r="C118" s="107"/>
      <c r="D118" s="107"/>
      <c r="E118" s="107"/>
      <c r="F118" s="132" t="s">
        <v>85</v>
      </c>
      <c r="G118" s="107"/>
      <c r="H118" s="118">
        <f>'Roads &amp; Mowing (2)'!M4</f>
        <v>0</v>
      </c>
      <c r="I118" s="118">
        <f>'Roads &amp; Mowing (2)'!N4</f>
        <v>0</v>
      </c>
      <c r="J118" s="118">
        <f>'Roads &amp; Mowing (2)'!O4</f>
        <v>0</v>
      </c>
      <c r="K118" s="118">
        <f>'Roads &amp; Mowing (2)'!P4</f>
        <v>0</v>
      </c>
      <c r="L118" s="118">
        <f>'Roads &amp; Mowing (2)'!Q4</f>
        <v>0</v>
      </c>
      <c r="M118" s="118">
        <f>'Roads &amp; Mowing (2)'!C30</f>
        <v>0</v>
      </c>
      <c r="N118" s="118">
        <f>'Roads &amp; Mowing (2)'!D30</f>
        <v>0</v>
      </c>
      <c r="O118" s="118">
        <f>'Roads &amp; Mowing (2)'!E30</f>
        <v>0</v>
      </c>
      <c r="P118" s="118">
        <f>'Roads &amp; Mowing (2)'!F30</f>
        <v>0</v>
      </c>
      <c r="Q118" s="118">
        <f>'Roads &amp; Mowing (2)'!G30</f>
        <v>0</v>
      </c>
      <c r="R118" s="118">
        <f>'Roads &amp; Mowing (2)'!H30</f>
        <v>0</v>
      </c>
      <c r="S118" s="118">
        <f>'Roads &amp; Mowing (2)'!I30</f>
        <v>0</v>
      </c>
      <c r="T118" s="118">
        <f>'Roads &amp; Mowing (2)'!J30</f>
        <v>0</v>
      </c>
      <c r="U118" s="118">
        <f>'Roads &amp; Mowing (2)'!K30</f>
        <v>0</v>
      </c>
      <c r="V118" s="118">
        <f>'Roads &amp; Mowing (2)'!L30</f>
        <v>0</v>
      </c>
      <c r="W118" s="118">
        <f>'Roads &amp; Mowing (2)'!M30</f>
        <v>0</v>
      </c>
      <c r="X118" s="118">
        <f>'Roads &amp; Mowing (2)'!N30</f>
        <v>0</v>
      </c>
      <c r="Y118" s="130">
        <f t="shared" si="9"/>
        <v>0</v>
      </c>
      <c r="Z118" s="113">
        <f t="shared" ref="Z118:Z157" si="16">ROUND(Y118-H118,0)</f>
        <v>0</v>
      </c>
    </row>
    <row r="119" spans="1:26" x14ac:dyDescent="0.25">
      <c r="A119" s="107"/>
      <c r="B119" s="107"/>
      <c r="C119" s="107"/>
      <c r="D119" s="107"/>
      <c r="E119" s="107"/>
      <c r="F119" s="132" t="s">
        <v>86</v>
      </c>
      <c r="G119" s="107"/>
      <c r="H119" s="118">
        <f>'Roads &amp; Mowing (2)'!M5</f>
        <v>75000</v>
      </c>
      <c r="I119" s="118">
        <f>'Roads &amp; Mowing (2)'!N5</f>
        <v>75000</v>
      </c>
      <c r="J119" s="118">
        <f>'Roads &amp; Mowing (2)'!O5</f>
        <v>50000</v>
      </c>
      <c r="K119" s="118">
        <f>'Roads &amp; Mowing (2)'!P5</f>
        <v>50000</v>
      </c>
      <c r="L119" s="118">
        <f>'Roads &amp; Mowing (2)'!Q5</f>
        <v>50000</v>
      </c>
      <c r="M119" s="118">
        <f>'Roads &amp; Mowing (2)'!C31</f>
        <v>0</v>
      </c>
      <c r="N119" s="118">
        <f>'Roads &amp; Mowing (2)'!D31</f>
        <v>0</v>
      </c>
      <c r="O119" s="118">
        <f>'Roads &amp; Mowing (2)'!E31</f>
        <v>0</v>
      </c>
      <c r="P119" s="118">
        <f>'Roads &amp; Mowing (2)'!F31</f>
        <v>0</v>
      </c>
      <c r="Q119" s="118">
        <f>'Roads &amp; Mowing (2)'!G31</f>
        <v>0</v>
      </c>
      <c r="R119" s="118">
        <f>'Roads &amp; Mowing (2)'!H31</f>
        <v>25000</v>
      </c>
      <c r="S119" s="118">
        <f>'Roads &amp; Mowing (2)'!I31</f>
        <v>25000</v>
      </c>
      <c r="T119" s="118">
        <f>'Roads &amp; Mowing (2)'!J31</f>
        <v>25000</v>
      </c>
      <c r="U119" s="118">
        <f>'Roads &amp; Mowing (2)'!K31</f>
        <v>0</v>
      </c>
      <c r="V119" s="118">
        <f>'Roads &amp; Mowing (2)'!L31</f>
        <v>0</v>
      </c>
      <c r="W119" s="118">
        <f>'Roads &amp; Mowing (2)'!M31</f>
        <v>0</v>
      </c>
      <c r="X119" s="118">
        <f>'Roads &amp; Mowing (2)'!N31</f>
        <v>0</v>
      </c>
      <c r="Y119" s="130">
        <f t="shared" si="9"/>
        <v>75000</v>
      </c>
      <c r="Z119" s="113">
        <f t="shared" si="16"/>
        <v>0</v>
      </c>
    </row>
    <row r="120" spans="1:26" x14ac:dyDescent="0.25">
      <c r="A120" s="107"/>
      <c r="B120" s="107"/>
      <c r="C120" s="107"/>
      <c r="D120" s="107"/>
      <c r="E120" s="107"/>
      <c r="F120" s="132" t="s">
        <v>87</v>
      </c>
      <c r="G120" s="107"/>
      <c r="H120" s="118">
        <v>0</v>
      </c>
      <c r="I120" s="118">
        <v>0</v>
      </c>
      <c r="J120" s="118">
        <v>0</v>
      </c>
      <c r="K120" s="118">
        <v>0</v>
      </c>
      <c r="L120" s="118">
        <v>0</v>
      </c>
      <c r="M120" s="118">
        <v>0</v>
      </c>
      <c r="N120" s="118">
        <v>0</v>
      </c>
      <c r="O120" s="118">
        <v>0</v>
      </c>
      <c r="P120" s="118">
        <v>0</v>
      </c>
      <c r="Q120" s="118">
        <v>0</v>
      </c>
      <c r="R120" s="118">
        <v>0</v>
      </c>
      <c r="S120" s="118">
        <v>0</v>
      </c>
      <c r="T120" s="118">
        <v>0</v>
      </c>
      <c r="U120" s="118">
        <v>0</v>
      </c>
      <c r="V120" s="118">
        <v>0</v>
      </c>
      <c r="W120" s="118">
        <v>0</v>
      </c>
      <c r="X120" s="118">
        <v>0</v>
      </c>
      <c r="Y120" s="130">
        <f t="shared" si="9"/>
        <v>0</v>
      </c>
      <c r="Z120" s="113">
        <f t="shared" si="16"/>
        <v>0</v>
      </c>
    </row>
    <row r="121" spans="1:26" x14ac:dyDescent="0.25">
      <c r="A121" s="107"/>
      <c r="B121" s="107"/>
      <c r="C121" s="107"/>
      <c r="D121" s="107"/>
      <c r="E121" s="107"/>
      <c r="F121" s="132" t="s">
        <v>88</v>
      </c>
      <c r="G121" s="107"/>
      <c r="H121" s="118">
        <v>0</v>
      </c>
      <c r="I121" s="118">
        <v>0</v>
      </c>
      <c r="J121" s="118">
        <v>0</v>
      </c>
      <c r="K121" s="118">
        <v>0</v>
      </c>
      <c r="L121" s="118">
        <v>0</v>
      </c>
      <c r="M121" s="118">
        <v>0</v>
      </c>
      <c r="N121" s="118">
        <v>0</v>
      </c>
      <c r="O121" s="118">
        <v>0</v>
      </c>
      <c r="P121" s="118">
        <v>0</v>
      </c>
      <c r="Q121" s="118">
        <v>0</v>
      </c>
      <c r="R121" s="118">
        <v>0</v>
      </c>
      <c r="S121" s="118">
        <v>0</v>
      </c>
      <c r="T121" s="118">
        <v>0</v>
      </c>
      <c r="U121" s="118">
        <v>0</v>
      </c>
      <c r="V121" s="118">
        <v>0</v>
      </c>
      <c r="W121" s="118">
        <v>0</v>
      </c>
      <c r="X121" s="118">
        <v>0</v>
      </c>
      <c r="Y121" s="130">
        <f t="shared" si="9"/>
        <v>0</v>
      </c>
      <c r="Z121" s="113">
        <f t="shared" si="16"/>
        <v>0</v>
      </c>
    </row>
    <row r="122" spans="1:26" x14ac:dyDescent="0.25">
      <c r="A122" s="107"/>
      <c r="B122" s="107"/>
      <c r="C122" s="107"/>
      <c r="D122" s="107"/>
      <c r="E122" s="107"/>
      <c r="F122" s="132" t="s">
        <v>89</v>
      </c>
      <c r="G122" s="107"/>
      <c r="H122" s="118">
        <v>0</v>
      </c>
      <c r="I122" s="118">
        <v>0</v>
      </c>
      <c r="J122" s="118">
        <v>0</v>
      </c>
      <c r="K122" s="118">
        <v>0</v>
      </c>
      <c r="L122" s="118">
        <v>0</v>
      </c>
      <c r="M122" s="118">
        <v>0</v>
      </c>
      <c r="N122" s="118">
        <v>0</v>
      </c>
      <c r="O122" s="118">
        <v>0</v>
      </c>
      <c r="P122" s="118">
        <v>0</v>
      </c>
      <c r="Q122" s="118">
        <v>0</v>
      </c>
      <c r="R122" s="118">
        <v>0</v>
      </c>
      <c r="S122" s="118">
        <v>0</v>
      </c>
      <c r="T122" s="118">
        <v>0</v>
      </c>
      <c r="U122" s="118">
        <v>0</v>
      </c>
      <c r="V122" s="118">
        <v>0</v>
      </c>
      <c r="W122" s="118">
        <v>0</v>
      </c>
      <c r="X122" s="118">
        <v>0</v>
      </c>
      <c r="Y122" s="130">
        <f t="shared" si="9"/>
        <v>0</v>
      </c>
      <c r="Z122" s="113">
        <f t="shared" si="16"/>
        <v>0</v>
      </c>
    </row>
    <row r="123" spans="1:26" x14ac:dyDescent="0.25">
      <c r="A123" s="107"/>
      <c r="B123" s="107"/>
      <c r="C123" s="107"/>
      <c r="D123" s="107"/>
      <c r="E123" s="107"/>
      <c r="F123" s="132" t="s">
        <v>90</v>
      </c>
      <c r="G123" s="107"/>
      <c r="H123" s="118">
        <v>0</v>
      </c>
      <c r="I123" s="118">
        <v>0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18">
        <v>0</v>
      </c>
      <c r="Q123" s="118">
        <v>0</v>
      </c>
      <c r="R123" s="118">
        <v>0</v>
      </c>
      <c r="S123" s="118">
        <v>0</v>
      </c>
      <c r="T123" s="118">
        <v>0</v>
      </c>
      <c r="U123" s="118">
        <v>0</v>
      </c>
      <c r="V123" s="118">
        <v>0</v>
      </c>
      <c r="W123" s="118">
        <v>0</v>
      </c>
      <c r="X123" s="118">
        <v>0</v>
      </c>
      <c r="Y123" s="130">
        <f t="shared" si="9"/>
        <v>0</v>
      </c>
      <c r="Z123" s="113">
        <f t="shared" si="16"/>
        <v>0</v>
      </c>
    </row>
    <row r="124" spans="1:26" x14ac:dyDescent="0.25">
      <c r="A124" s="107"/>
      <c r="B124" s="107"/>
      <c r="C124" s="107"/>
      <c r="D124" s="107"/>
      <c r="E124" s="107"/>
      <c r="F124" s="132" t="s">
        <v>91</v>
      </c>
      <c r="G124" s="107"/>
      <c r="H124" s="118">
        <v>0</v>
      </c>
      <c r="I124" s="118">
        <v>0</v>
      </c>
      <c r="J124" s="118">
        <v>0</v>
      </c>
      <c r="K124" s="118">
        <v>0</v>
      </c>
      <c r="L124" s="118">
        <v>0</v>
      </c>
      <c r="M124" s="118">
        <v>0</v>
      </c>
      <c r="N124" s="118">
        <v>0</v>
      </c>
      <c r="O124" s="118">
        <v>0</v>
      </c>
      <c r="P124" s="118">
        <v>0</v>
      </c>
      <c r="Q124" s="118">
        <v>0</v>
      </c>
      <c r="R124" s="118">
        <v>0</v>
      </c>
      <c r="S124" s="118">
        <v>0</v>
      </c>
      <c r="T124" s="118">
        <v>0</v>
      </c>
      <c r="U124" s="118">
        <v>0</v>
      </c>
      <c r="V124" s="118">
        <v>0</v>
      </c>
      <c r="W124" s="118">
        <v>0</v>
      </c>
      <c r="X124" s="118">
        <v>0</v>
      </c>
      <c r="Y124" s="130">
        <f t="shared" si="9"/>
        <v>0</v>
      </c>
      <c r="Z124" s="113">
        <f t="shared" si="16"/>
        <v>0</v>
      </c>
    </row>
    <row r="125" spans="1:26" x14ac:dyDescent="0.25">
      <c r="A125" s="107"/>
      <c r="B125" s="107"/>
      <c r="C125" s="107"/>
      <c r="D125" s="107"/>
      <c r="E125" s="107"/>
      <c r="F125" s="132" t="s">
        <v>92</v>
      </c>
      <c r="G125" s="107"/>
      <c r="H125" s="118">
        <v>0</v>
      </c>
      <c r="I125" s="118">
        <v>0</v>
      </c>
      <c r="J125" s="118">
        <v>0</v>
      </c>
      <c r="K125" s="118">
        <v>0</v>
      </c>
      <c r="L125" s="118">
        <v>0</v>
      </c>
      <c r="M125" s="118">
        <v>0</v>
      </c>
      <c r="N125" s="118">
        <v>0</v>
      </c>
      <c r="O125" s="118">
        <v>0</v>
      </c>
      <c r="P125" s="118">
        <v>0</v>
      </c>
      <c r="Q125" s="118">
        <v>0</v>
      </c>
      <c r="R125" s="118">
        <v>0</v>
      </c>
      <c r="S125" s="118">
        <v>0</v>
      </c>
      <c r="T125" s="118">
        <v>0</v>
      </c>
      <c r="U125" s="118">
        <v>0</v>
      </c>
      <c r="V125" s="118">
        <v>0</v>
      </c>
      <c r="W125" s="118">
        <v>0</v>
      </c>
      <c r="X125" s="118">
        <v>0</v>
      </c>
      <c r="Y125" s="130">
        <f t="shared" si="9"/>
        <v>0</v>
      </c>
      <c r="Z125" s="113">
        <f t="shared" si="16"/>
        <v>0</v>
      </c>
    </row>
    <row r="126" spans="1:26" x14ac:dyDescent="0.25">
      <c r="A126" s="107"/>
      <c r="B126" s="107"/>
      <c r="C126" s="107"/>
      <c r="D126" s="107"/>
      <c r="E126" s="107"/>
      <c r="F126" s="132" t="s">
        <v>93</v>
      </c>
      <c r="G126" s="107"/>
      <c r="H126" s="118">
        <v>0</v>
      </c>
      <c r="I126" s="118">
        <v>0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18">
        <v>0</v>
      </c>
      <c r="Q126" s="118">
        <v>0</v>
      </c>
      <c r="R126" s="118">
        <v>0</v>
      </c>
      <c r="S126" s="118">
        <v>0</v>
      </c>
      <c r="T126" s="118">
        <v>0</v>
      </c>
      <c r="U126" s="118">
        <v>0</v>
      </c>
      <c r="V126" s="118">
        <v>0</v>
      </c>
      <c r="W126" s="118">
        <v>0</v>
      </c>
      <c r="X126" s="118">
        <v>0</v>
      </c>
      <c r="Y126" s="130">
        <f t="shared" si="9"/>
        <v>0</v>
      </c>
      <c r="Z126" s="113">
        <f t="shared" si="16"/>
        <v>0</v>
      </c>
    </row>
    <row r="127" spans="1:26" x14ac:dyDescent="0.25">
      <c r="A127" s="107"/>
      <c r="B127" s="107"/>
      <c r="C127" s="107"/>
      <c r="D127" s="107"/>
      <c r="E127" s="107"/>
      <c r="F127" s="132" t="s">
        <v>94</v>
      </c>
      <c r="G127" s="107"/>
      <c r="H127" s="118">
        <v>0</v>
      </c>
      <c r="I127" s="118">
        <v>0</v>
      </c>
      <c r="J127" s="118">
        <v>0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118">
        <v>0</v>
      </c>
      <c r="Q127" s="118">
        <v>0</v>
      </c>
      <c r="R127" s="118">
        <v>0</v>
      </c>
      <c r="S127" s="118">
        <v>0</v>
      </c>
      <c r="T127" s="118">
        <v>0</v>
      </c>
      <c r="U127" s="118">
        <v>0</v>
      </c>
      <c r="V127" s="118">
        <v>0</v>
      </c>
      <c r="W127" s="118">
        <v>0</v>
      </c>
      <c r="X127" s="118">
        <v>0</v>
      </c>
      <c r="Y127" s="130">
        <f t="shared" si="9"/>
        <v>0</v>
      </c>
      <c r="Z127" s="113">
        <f t="shared" si="16"/>
        <v>0</v>
      </c>
    </row>
    <row r="128" spans="1:26" x14ac:dyDescent="0.25">
      <c r="A128" s="107"/>
      <c r="B128" s="107"/>
      <c r="C128" s="107"/>
      <c r="D128" s="107"/>
      <c r="E128" s="107"/>
      <c r="F128" s="132" t="s">
        <v>95</v>
      </c>
      <c r="G128" s="107"/>
      <c r="H128" s="118">
        <v>0</v>
      </c>
      <c r="I128" s="118">
        <v>0</v>
      </c>
      <c r="J128" s="118">
        <v>0</v>
      </c>
      <c r="K128" s="118">
        <v>0</v>
      </c>
      <c r="L128" s="118">
        <v>0</v>
      </c>
      <c r="M128" s="118">
        <v>0</v>
      </c>
      <c r="N128" s="118">
        <v>0</v>
      </c>
      <c r="O128" s="118">
        <v>0</v>
      </c>
      <c r="P128" s="118">
        <v>0</v>
      </c>
      <c r="Q128" s="118">
        <v>0</v>
      </c>
      <c r="R128" s="118">
        <v>0</v>
      </c>
      <c r="S128" s="118">
        <v>0</v>
      </c>
      <c r="T128" s="118">
        <v>0</v>
      </c>
      <c r="U128" s="118">
        <v>0</v>
      </c>
      <c r="V128" s="118">
        <v>0</v>
      </c>
      <c r="W128" s="118">
        <v>0</v>
      </c>
      <c r="X128" s="118">
        <v>0</v>
      </c>
      <c r="Y128" s="130">
        <f t="shared" si="9"/>
        <v>0</v>
      </c>
      <c r="Z128" s="113">
        <f t="shared" si="16"/>
        <v>0</v>
      </c>
    </row>
    <row r="129" spans="1:26" x14ac:dyDescent="0.25">
      <c r="A129" s="107"/>
      <c r="B129" s="107"/>
      <c r="C129" s="107"/>
      <c r="D129" s="107"/>
      <c r="E129" s="107"/>
      <c r="F129" s="132" t="s">
        <v>96</v>
      </c>
      <c r="G129" s="107"/>
      <c r="H129" s="118">
        <v>0</v>
      </c>
      <c r="I129" s="118">
        <v>0</v>
      </c>
      <c r="J129" s="118">
        <v>0</v>
      </c>
      <c r="K129" s="118">
        <v>0</v>
      </c>
      <c r="L129" s="118">
        <v>0</v>
      </c>
      <c r="M129" s="118">
        <v>0</v>
      </c>
      <c r="N129" s="118">
        <v>0</v>
      </c>
      <c r="O129" s="118">
        <v>0</v>
      </c>
      <c r="P129" s="118">
        <v>0</v>
      </c>
      <c r="Q129" s="118">
        <v>0</v>
      </c>
      <c r="R129" s="118">
        <v>0</v>
      </c>
      <c r="S129" s="118">
        <v>0</v>
      </c>
      <c r="T129" s="118">
        <v>0</v>
      </c>
      <c r="U129" s="118">
        <v>0</v>
      </c>
      <c r="V129" s="118">
        <v>0</v>
      </c>
      <c r="W129" s="118">
        <v>0</v>
      </c>
      <c r="X129" s="118">
        <v>0</v>
      </c>
      <c r="Y129" s="130">
        <f t="shared" si="9"/>
        <v>0</v>
      </c>
      <c r="Z129" s="113">
        <f t="shared" si="16"/>
        <v>0</v>
      </c>
    </row>
    <row r="130" spans="1:26" x14ac:dyDescent="0.25">
      <c r="A130" s="107"/>
      <c r="B130" s="107"/>
      <c r="C130" s="107"/>
      <c r="D130" s="107"/>
      <c r="E130" s="107"/>
      <c r="F130" s="132" t="s">
        <v>97</v>
      </c>
      <c r="G130" s="107"/>
      <c r="H130" s="118">
        <v>0</v>
      </c>
      <c r="I130" s="118">
        <v>0</v>
      </c>
      <c r="J130" s="118">
        <v>0</v>
      </c>
      <c r="K130" s="118">
        <v>0</v>
      </c>
      <c r="L130" s="118">
        <v>0</v>
      </c>
      <c r="M130" s="118">
        <v>0</v>
      </c>
      <c r="N130" s="118">
        <v>0</v>
      </c>
      <c r="O130" s="118">
        <v>0</v>
      </c>
      <c r="P130" s="118">
        <v>0</v>
      </c>
      <c r="Q130" s="118">
        <v>0</v>
      </c>
      <c r="R130" s="118">
        <v>0</v>
      </c>
      <c r="S130" s="118">
        <v>0</v>
      </c>
      <c r="T130" s="118">
        <v>0</v>
      </c>
      <c r="U130" s="118">
        <v>0</v>
      </c>
      <c r="V130" s="118">
        <v>0</v>
      </c>
      <c r="W130" s="118">
        <v>0</v>
      </c>
      <c r="X130" s="118">
        <v>0</v>
      </c>
      <c r="Y130" s="130">
        <f t="shared" si="9"/>
        <v>0</v>
      </c>
      <c r="Z130" s="113">
        <f t="shared" si="16"/>
        <v>0</v>
      </c>
    </row>
    <row r="131" spans="1:26" x14ac:dyDescent="0.25">
      <c r="A131" s="107"/>
      <c r="B131" s="107"/>
      <c r="C131" s="107"/>
      <c r="D131" s="107"/>
      <c r="E131" s="107"/>
      <c r="F131" s="132" t="s">
        <v>98</v>
      </c>
      <c r="G131" s="107"/>
      <c r="H131" s="118">
        <v>0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18">
        <v>0</v>
      </c>
      <c r="Q131" s="118">
        <v>0</v>
      </c>
      <c r="R131" s="118">
        <v>0</v>
      </c>
      <c r="S131" s="118">
        <v>0</v>
      </c>
      <c r="T131" s="118">
        <v>0</v>
      </c>
      <c r="U131" s="118">
        <v>0</v>
      </c>
      <c r="V131" s="118">
        <v>0</v>
      </c>
      <c r="W131" s="118">
        <v>0</v>
      </c>
      <c r="X131" s="118">
        <v>0</v>
      </c>
      <c r="Y131" s="130">
        <f t="shared" si="9"/>
        <v>0</v>
      </c>
      <c r="Z131" s="113">
        <f t="shared" si="16"/>
        <v>0</v>
      </c>
    </row>
    <row r="132" spans="1:26" x14ac:dyDescent="0.25">
      <c r="A132" s="107"/>
      <c r="B132" s="107"/>
      <c r="C132" s="107"/>
      <c r="D132" s="107"/>
      <c r="E132" s="107"/>
      <c r="F132" s="132" t="s">
        <v>99</v>
      </c>
      <c r="G132" s="107"/>
      <c r="H132" s="118">
        <v>0</v>
      </c>
      <c r="I132" s="118">
        <v>0</v>
      </c>
      <c r="J132" s="118">
        <v>0</v>
      </c>
      <c r="K132" s="118">
        <v>0</v>
      </c>
      <c r="L132" s="118">
        <v>0</v>
      </c>
      <c r="M132" s="118">
        <v>0</v>
      </c>
      <c r="N132" s="118">
        <v>0</v>
      </c>
      <c r="O132" s="118">
        <v>0</v>
      </c>
      <c r="P132" s="118">
        <v>0</v>
      </c>
      <c r="Q132" s="118">
        <v>0</v>
      </c>
      <c r="R132" s="118">
        <v>0</v>
      </c>
      <c r="S132" s="118">
        <v>0</v>
      </c>
      <c r="T132" s="118">
        <v>0</v>
      </c>
      <c r="U132" s="118">
        <v>0</v>
      </c>
      <c r="V132" s="118">
        <v>0</v>
      </c>
      <c r="W132" s="118">
        <v>0</v>
      </c>
      <c r="X132" s="118">
        <v>0</v>
      </c>
      <c r="Y132" s="130">
        <f t="shared" si="9"/>
        <v>0</v>
      </c>
      <c r="Z132" s="113">
        <f t="shared" si="16"/>
        <v>0</v>
      </c>
    </row>
    <row r="133" spans="1:26" x14ac:dyDescent="0.25">
      <c r="A133" s="107"/>
      <c r="B133" s="107"/>
      <c r="C133" s="107"/>
      <c r="D133" s="107"/>
      <c r="E133" s="107"/>
      <c r="F133" s="132" t="s">
        <v>100</v>
      </c>
      <c r="G133" s="107"/>
      <c r="H133" s="118">
        <v>0</v>
      </c>
      <c r="I133" s="118">
        <v>0</v>
      </c>
      <c r="J133" s="118">
        <v>0</v>
      </c>
      <c r="K133" s="118">
        <v>0</v>
      </c>
      <c r="L133" s="118">
        <v>0</v>
      </c>
      <c r="M133" s="118">
        <v>0</v>
      </c>
      <c r="N133" s="118">
        <v>0</v>
      </c>
      <c r="O133" s="118">
        <v>0</v>
      </c>
      <c r="P133" s="118">
        <v>0</v>
      </c>
      <c r="Q133" s="118">
        <v>0</v>
      </c>
      <c r="R133" s="118">
        <v>0</v>
      </c>
      <c r="S133" s="118">
        <v>0</v>
      </c>
      <c r="T133" s="118">
        <v>0</v>
      </c>
      <c r="U133" s="118">
        <v>0</v>
      </c>
      <c r="V133" s="118">
        <v>0</v>
      </c>
      <c r="W133" s="118">
        <v>0</v>
      </c>
      <c r="X133" s="118">
        <v>0</v>
      </c>
      <c r="Y133" s="130">
        <f t="shared" si="9"/>
        <v>0</v>
      </c>
      <c r="Z133" s="113">
        <f t="shared" si="16"/>
        <v>0</v>
      </c>
    </row>
    <row r="134" spans="1:26" x14ac:dyDescent="0.25">
      <c r="A134" s="107"/>
      <c r="B134" s="107"/>
      <c r="C134" s="107"/>
      <c r="D134" s="107"/>
      <c r="E134" s="107"/>
      <c r="F134" s="132" t="s">
        <v>101</v>
      </c>
      <c r="G134" s="107"/>
      <c r="H134" s="118">
        <v>0</v>
      </c>
      <c r="I134" s="118">
        <v>0</v>
      </c>
      <c r="J134" s="118">
        <v>0</v>
      </c>
      <c r="K134" s="118">
        <v>0</v>
      </c>
      <c r="L134" s="118">
        <v>0</v>
      </c>
      <c r="M134" s="118">
        <v>0</v>
      </c>
      <c r="N134" s="118">
        <v>0</v>
      </c>
      <c r="O134" s="118">
        <v>0</v>
      </c>
      <c r="P134" s="118">
        <v>0</v>
      </c>
      <c r="Q134" s="118">
        <v>0</v>
      </c>
      <c r="R134" s="118">
        <v>0</v>
      </c>
      <c r="S134" s="118">
        <v>0</v>
      </c>
      <c r="T134" s="118">
        <v>0</v>
      </c>
      <c r="U134" s="118">
        <v>0</v>
      </c>
      <c r="V134" s="118">
        <v>0</v>
      </c>
      <c r="W134" s="118">
        <v>0</v>
      </c>
      <c r="X134" s="118">
        <v>0</v>
      </c>
      <c r="Y134" s="130">
        <f t="shared" si="9"/>
        <v>0</v>
      </c>
      <c r="Z134" s="113">
        <f t="shared" si="16"/>
        <v>0</v>
      </c>
    </row>
    <row r="135" spans="1:26" x14ac:dyDescent="0.25">
      <c r="A135" s="107"/>
      <c r="B135" s="107"/>
      <c r="C135" s="107"/>
      <c r="D135" s="107"/>
      <c r="E135" s="107"/>
      <c r="F135" s="132" t="s">
        <v>102</v>
      </c>
      <c r="G135" s="107"/>
      <c r="H135" s="118">
        <v>0</v>
      </c>
      <c r="I135" s="118">
        <v>0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18">
        <v>0</v>
      </c>
      <c r="Q135" s="118">
        <v>0</v>
      </c>
      <c r="R135" s="118">
        <v>0</v>
      </c>
      <c r="S135" s="118">
        <v>0</v>
      </c>
      <c r="T135" s="118">
        <v>0</v>
      </c>
      <c r="U135" s="118">
        <v>0</v>
      </c>
      <c r="V135" s="118">
        <v>0</v>
      </c>
      <c r="W135" s="118">
        <v>0</v>
      </c>
      <c r="X135" s="118">
        <v>0</v>
      </c>
      <c r="Y135" s="130">
        <f t="shared" ref="Y135:Y154" si="17">SUM(M135:X135)</f>
        <v>0</v>
      </c>
      <c r="Z135" s="113">
        <f t="shared" si="16"/>
        <v>0</v>
      </c>
    </row>
    <row r="136" spans="1:26" x14ac:dyDescent="0.25">
      <c r="A136" s="107"/>
      <c r="B136" s="107"/>
      <c r="C136" s="107"/>
      <c r="D136" s="107"/>
      <c r="E136" s="107"/>
      <c r="F136" s="132" t="s">
        <v>103</v>
      </c>
      <c r="G136" s="107"/>
      <c r="H136" s="118">
        <v>0</v>
      </c>
      <c r="I136" s="118">
        <v>0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18">
        <v>0</v>
      </c>
      <c r="Q136" s="118">
        <v>0</v>
      </c>
      <c r="R136" s="118">
        <v>0</v>
      </c>
      <c r="S136" s="118">
        <v>0</v>
      </c>
      <c r="T136" s="118">
        <v>0</v>
      </c>
      <c r="U136" s="118">
        <v>0</v>
      </c>
      <c r="V136" s="118">
        <v>0</v>
      </c>
      <c r="W136" s="118">
        <v>0</v>
      </c>
      <c r="X136" s="118">
        <v>0</v>
      </c>
      <c r="Y136" s="130">
        <f t="shared" si="17"/>
        <v>0</v>
      </c>
      <c r="Z136" s="113">
        <f t="shared" si="16"/>
        <v>0</v>
      </c>
    </row>
    <row r="137" spans="1:26" x14ac:dyDescent="0.25">
      <c r="A137" s="107"/>
      <c r="B137" s="107"/>
      <c r="C137" s="107"/>
      <c r="D137" s="107"/>
      <c r="E137" s="107"/>
      <c r="F137" s="132" t="s">
        <v>104</v>
      </c>
      <c r="G137" s="107"/>
      <c r="H137" s="118">
        <v>0</v>
      </c>
      <c r="I137" s="118">
        <v>0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18">
        <v>0</v>
      </c>
      <c r="Q137" s="118">
        <v>0</v>
      </c>
      <c r="R137" s="118">
        <v>0</v>
      </c>
      <c r="S137" s="118">
        <v>0</v>
      </c>
      <c r="T137" s="118">
        <v>0</v>
      </c>
      <c r="U137" s="118">
        <v>0</v>
      </c>
      <c r="V137" s="118">
        <v>0</v>
      </c>
      <c r="W137" s="118">
        <v>0</v>
      </c>
      <c r="X137" s="118">
        <v>0</v>
      </c>
      <c r="Y137" s="130">
        <f t="shared" si="17"/>
        <v>0</v>
      </c>
      <c r="Z137" s="113">
        <f t="shared" si="16"/>
        <v>0</v>
      </c>
    </row>
    <row r="138" spans="1:26" ht="15.75" thickBot="1" x14ac:dyDescent="0.3">
      <c r="A138" s="107"/>
      <c r="B138" s="107"/>
      <c r="C138" s="107"/>
      <c r="D138" s="107"/>
      <c r="E138" s="107"/>
      <c r="F138" s="132" t="s">
        <v>105</v>
      </c>
      <c r="G138" s="107"/>
      <c r="H138" s="118">
        <v>0</v>
      </c>
      <c r="I138" s="118">
        <v>0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18">
        <v>0</v>
      </c>
      <c r="Q138" s="118">
        <v>0</v>
      </c>
      <c r="R138" s="118">
        <v>0</v>
      </c>
      <c r="S138" s="118">
        <v>0</v>
      </c>
      <c r="T138" s="118">
        <v>0</v>
      </c>
      <c r="U138" s="118">
        <v>0</v>
      </c>
      <c r="V138" s="118">
        <v>0</v>
      </c>
      <c r="W138" s="118">
        <v>0</v>
      </c>
      <c r="X138" s="118">
        <v>0</v>
      </c>
      <c r="Y138" s="130">
        <f t="shared" si="17"/>
        <v>0</v>
      </c>
      <c r="Z138" s="113">
        <f t="shared" si="16"/>
        <v>0</v>
      </c>
    </row>
    <row r="139" spans="1:26" ht="15.75" thickBot="1" x14ac:dyDescent="0.3">
      <c r="A139" s="107"/>
      <c r="B139" s="107"/>
      <c r="C139" s="107"/>
      <c r="D139" s="107"/>
      <c r="E139" s="107" t="s">
        <v>106</v>
      </c>
      <c r="F139" s="107"/>
      <c r="G139" s="107"/>
      <c r="H139" s="131">
        <f>ROUND(SUM(H118:H138),5)</f>
        <v>75000</v>
      </c>
      <c r="I139" s="131">
        <f t="shared" ref="I139:Y139" si="18">ROUND(SUM(I118:I138),5)</f>
        <v>75000</v>
      </c>
      <c r="J139" s="131">
        <f t="shared" si="18"/>
        <v>50000</v>
      </c>
      <c r="K139" s="131">
        <f t="shared" si="18"/>
        <v>50000</v>
      </c>
      <c r="L139" s="131">
        <f t="shared" si="18"/>
        <v>50000</v>
      </c>
      <c r="M139" s="131">
        <f t="shared" si="18"/>
        <v>0</v>
      </c>
      <c r="N139" s="131">
        <f t="shared" si="18"/>
        <v>0</v>
      </c>
      <c r="O139" s="131">
        <f t="shared" si="18"/>
        <v>0</v>
      </c>
      <c r="P139" s="131">
        <f t="shared" si="18"/>
        <v>0</v>
      </c>
      <c r="Q139" s="131">
        <f t="shared" si="18"/>
        <v>0</v>
      </c>
      <c r="R139" s="131">
        <f t="shared" si="18"/>
        <v>25000</v>
      </c>
      <c r="S139" s="131">
        <f t="shared" si="18"/>
        <v>25000</v>
      </c>
      <c r="T139" s="131">
        <f t="shared" si="18"/>
        <v>25000</v>
      </c>
      <c r="U139" s="131">
        <f t="shared" si="18"/>
        <v>0</v>
      </c>
      <c r="V139" s="131">
        <f t="shared" si="18"/>
        <v>0</v>
      </c>
      <c r="W139" s="131">
        <f t="shared" si="18"/>
        <v>0</v>
      </c>
      <c r="X139" s="131">
        <f t="shared" si="18"/>
        <v>0</v>
      </c>
      <c r="Y139" s="131">
        <f t="shared" si="18"/>
        <v>75000</v>
      </c>
      <c r="Z139" s="113">
        <f t="shared" si="16"/>
        <v>0</v>
      </c>
    </row>
    <row r="140" spans="1:26" hidden="1" x14ac:dyDescent="0.25">
      <c r="A140" s="107"/>
      <c r="B140" s="107"/>
      <c r="C140" s="107"/>
      <c r="D140" s="107" t="s">
        <v>164</v>
      </c>
      <c r="E140" s="107"/>
      <c r="F140" s="107"/>
      <c r="G140" s="107"/>
      <c r="H140" s="118">
        <f>ROUND(H28+H37+H61+H83+H116+H139,5)</f>
        <v>75000</v>
      </c>
      <c r="I140" s="118">
        <f t="shared" ref="I140:X140" si="19">ROUND(I28+I37+I61+I83+I116+I139,5)</f>
        <v>75000</v>
      </c>
      <c r="J140" s="118">
        <f t="shared" si="19"/>
        <v>50000</v>
      </c>
      <c r="K140" s="118">
        <f t="shared" si="19"/>
        <v>50000</v>
      </c>
      <c r="L140" s="118">
        <f t="shared" si="19"/>
        <v>50000</v>
      </c>
      <c r="M140" s="118">
        <f t="shared" si="19"/>
        <v>0</v>
      </c>
      <c r="N140" s="118">
        <f t="shared" si="19"/>
        <v>0</v>
      </c>
      <c r="O140" s="118">
        <f t="shared" si="19"/>
        <v>0</v>
      </c>
      <c r="P140" s="118">
        <f t="shared" si="19"/>
        <v>0</v>
      </c>
      <c r="Q140" s="118">
        <f t="shared" si="19"/>
        <v>0</v>
      </c>
      <c r="R140" s="118">
        <f t="shared" si="19"/>
        <v>25000</v>
      </c>
      <c r="S140" s="118">
        <f t="shared" si="19"/>
        <v>25000</v>
      </c>
      <c r="T140" s="118">
        <f t="shared" si="19"/>
        <v>25000</v>
      </c>
      <c r="U140" s="118">
        <f t="shared" si="19"/>
        <v>0</v>
      </c>
      <c r="V140" s="118">
        <f t="shared" si="19"/>
        <v>0</v>
      </c>
      <c r="W140" s="118">
        <f t="shared" si="19"/>
        <v>0</v>
      </c>
      <c r="X140" s="118">
        <f t="shared" si="19"/>
        <v>0</v>
      </c>
      <c r="Y140" s="130">
        <f t="shared" si="17"/>
        <v>75000</v>
      </c>
      <c r="Z140" s="113">
        <f t="shared" si="16"/>
        <v>0</v>
      </c>
    </row>
    <row r="141" spans="1:26" x14ac:dyDescent="0.25">
      <c r="A141" s="107"/>
      <c r="B141" s="107"/>
      <c r="C141" s="107"/>
      <c r="D141" s="107" t="s">
        <v>128</v>
      </c>
      <c r="E141" s="107"/>
      <c r="F141" s="107"/>
      <c r="G141" s="107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30"/>
    </row>
    <row r="142" spans="1:26" x14ac:dyDescent="0.25">
      <c r="A142" s="107"/>
      <c r="B142" s="107"/>
      <c r="C142" s="107"/>
      <c r="D142" s="107"/>
      <c r="F142" s="107" t="s">
        <v>123</v>
      </c>
      <c r="G142" s="107"/>
      <c r="H142" s="118">
        <v>0</v>
      </c>
      <c r="I142" s="118">
        <v>0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18">
        <v>0</v>
      </c>
      <c r="Q142" s="118">
        <v>0</v>
      </c>
      <c r="R142" s="118">
        <v>0</v>
      </c>
      <c r="S142" s="118">
        <v>0</v>
      </c>
      <c r="T142" s="118">
        <v>0</v>
      </c>
      <c r="U142" s="118">
        <v>0</v>
      </c>
      <c r="V142" s="118">
        <v>0</v>
      </c>
      <c r="W142" s="118">
        <v>0</v>
      </c>
      <c r="X142" s="118">
        <v>0</v>
      </c>
      <c r="Y142" s="130">
        <f t="shared" si="17"/>
        <v>0</v>
      </c>
      <c r="Z142" s="113">
        <f t="shared" si="16"/>
        <v>0</v>
      </c>
    </row>
    <row r="143" spans="1:26" x14ac:dyDescent="0.25">
      <c r="A143" s="107"/>
      <c r="B143" s="107"/>
      <c r="C143" s="107"/>
      <c r="D143" s="107"/>
      <c r="F143" s="107" t="s">
        <v>124</v>
      </c>
      <c r="G143" s="107"/>
      <c r="H143" s="118">
        <f>Revenue!M$6*'Master Input Tab'!$B$8*'Master Input Tab'!$B$9</f>
        <v>523.06157399999995</v>
      </c>
      <c r="I143" s="118">
        <f>Revenue!N$6*'Master Input Tab'!$B$8*'Master Input Tab'!$B$9</f>
        <v>530.90749760999995</v>
      </c>
      <c r="J143" s="118">
        <f>Revenue!O$6*'Master Input Tab'!$B$8*'Master Input Tab'!$B$9</f>
        <v>538.8711100741499</v>
      </c>
      <c r="K143" s="118">
        <f>Revenue!P$6*'Master Input Tab'!$B$8*'Master Input Tab'!$B$9</f>
        <v>546.95417672526196</v>
      </c>
      <c r="L143" s="118">
        <f>Revenue!Q$6*'Master Input Tab'!$B$8*'Master Input Tab'!$B$9</f>
        <v>555.15848937614089</v>
      </c>
      <c r="M143" s="118">
        <f>($S$8*'Master Input Tab'!$B$8*'Master Input Tab'!$B$9)/12</f>
        <v>43.588464499999994</v>
      </c>
      <c r="N143" s="118">
        <f>($S$8*'Master Input Tab'!$B$8*'Master Input Tab'!$B$9)/12</f>
        <v>43.588464499999994</v>
      </c>
      <c r="O143" s="118">
        <f>($S$8*'Master Input Tab'!$B$8*'Master Input Tab'!$B$9)/12</f>
        <v>43.588464499999994</v>
      </c>
      <c r="P143" s="118">
        <f>($S$8*'Master Input Tab'!$B$8*'Master Input Tab'!$B$9)/12</f>
        <v>43.588464499999994</v>
      </c>
      <c r="Q143" s="118">
        <f>($S$8*'Master Input Tab'!$B$8*'Master Input Tab'!$B$9)/12</f>
        <v>43.588464499999994</v>
      </c>
      <c r="R143" s="118">
        <f>($S$8*'Master Input Tab'!$B$8*'Master Input Tab'!$B$9)/12</f>
        <v>43.588464499999994</v>
      </c>
      <c r="S143" s="118">
        <f>($S$8*'Master Input Tab'!$B$8*'Master Input Tab'!$B$9)/12</f>
        <v>43.588464499999994</v>
      </c>
      <c r="T143" s="118">
        <f>($S$8*'Master Input Tab'!$B$8*'Master Input Tab'!$B$9)/12</f>
        <v>43.588464499999994</v>
      </c>
      <c r="U143" s="118">
        <f>($S$8*'Master Input Tab'!$B$8*'Master Input Tab'!$B$9)/12</f>
        <v>43.588464499999994</v>
      </c>
      <c r="V143" s="118">
        <f>($S$8*'Master Input Tab'!$B$8*'Master Input Tab'!$B$9)/12</f>
        <v>43.588464499999994</v>
      </c>
      <c r="W143" s="118">
        <f>($S$8*'Master Input Tab'!$B$8*'Master Input Tab'!$B$9)/12</f>
        <v>43.588464499999994</v>
      </c>
      <c r="X143" s="118">
        <f>($S$8*'Master Input Tab'!$B$8*'Master Input Tab'!$B$9)/12</f>
        <v>43.588464499999994</v>
      </c>
      <c r="Y143" s="130">
        <f t="shared" si="17"/>
        <v>523.06157399999995</v>
      </c>
      <c r="Z143" s="113">
        <f t="shared" si="16"/>
        <v>0</v>
      </c>
    </row>
    <row r="144" spans="1:26" x14ac:dyDescent="0.25">
      <c r="A144" s="107"/>
      <c r="B144" s="107"/>
      <c r="C144" s="107"/>
      <c r="D144" s="107"/>
      <c r="F144" s="107" t="s">
        <v>125</v>
      </c>
      <c r="G144" s="107"/>
      <c r="H144" s="118">
        <v>0</v>
      </c>
      <c r="I144" s="118">
        <v>0</v>
      </c>
      <c r="J144" s="118">
        <v>0</v>
      </c>
      <c r="K144" s="118">
        <v>0</v>
      </c>
      <c r="L144" s="118">
        <v>0</v>
      </c>
      <c r="M144" s="118">
        <f>Finance!C19</f>
        <v>0</v>
      </c>
      <c r="N144" s="118">
        <f>Finance!D19</f>
        <v>0</v>
      </c>
      <c r="O144" s="118">
        <f>Finance!E19</f>
        <v>0</v>
      </c>
      <c r="P144" s="118">
        <f>Finance!F19</f>
        <v>0</v>
      </c>
      <c r="Q144" s="118">
        <f>Finance!G19</f>
        <v>0</v>
      </c>
      <c r="R144" s="118">
        <f>Finance!H19</f>
        <v>0</v>
      </c>
      <c r="S144" s="118">
        <f>Finance!I19</f>
        <v>0</v>
      </c>
      <c r="T144" s="118">
        <f>Finance!J19</f>
        <v>0</v>
      </c>
      <c r="U144" s="118">
        <f>Finance!K19</f>
        <v>0</v>
      </c>
      <c r="V144" s="118">
        <f>Finance!L19</f>
        <v>0</v>
      </c>
      <c r="W144" s="118">
        <f>Finance!M19</f>
        <v>0</v>
      </c>
      <c r="X144" s="118">
        <f>Finance!N19</f>
        <v>0</v>
      </c>
      <c r="Y144" s="130">
        <f t="shared" si="17"/>
        <v>0</v>
      </c>
      <c r="Z144" s="113">
        <f t="shared" si="16"/>
        <v>0</v>
      </c>
    </row>
    <row r="145" spans="1:26" x14ac:dyDescent="0.25">
      <c r="A145" s="107"/>
      <c r="B145" s="107"/>
      <c r="C145" s="107"/>
      <c r="D145" s="107"/>
      <c r="F145" s="107" t="s">
        <v>126</v>
      </c>
      <c r="G145" s="107"/>
      <c r="H145" s="118">
        <v>0</v>
      </c>
      <c r="I145" s="118">
        <v>0</v>
      </c>
      <c r="J145" s="118">
        <v>0</v>
      </c>
      <c r="K145" s="118">
        <v>0</v>
      </c>
      <c r="L145" s="118">
        <v>0</v>
      </c>
      <c r="M145" s="118">
        <v>0</v>
      </c>
      <c r="N145" s="118">
        <v>0</v>
      </c>
      <c r="O145" s="118">
        <v>0</v>
      </c>
      <c r="P145" s="118">
        <v>0</v>
      </c>
      <c r="Q145" s="118">
        <v>0</v>
      </c>
      <c r="R145" s="118">
        <v>0</v>
      </c>
      <c r="S145" s="118">
        <v>0</v>
      </c>
      <c r="T145" s="118">
        <v>0</v>
      </c>
      <c r="U145" s="118">
        <v>0</v>
      </c>
      <c r="V145" s="118">
        <v>0</v>
      </c>
      <c r="W145" s="118">
        <v>0</v>
      </c>
      <c r="X145" s="118">
        <v>0</v>
      </c>
      <c r="Y145" s="130">
        <f t="shared" si="17"/>
        <v>0</v>
      </c>
      <c r="Z145" s="113">
        <f t="shared" si="16"/>
        <v>0</v>
      </c>
    </row>
    <row r="146" spans="1:26" ht="15.75" thickBot="1" x14ac:dyDescent="0.3">
      <c r="A146" s="107"/>
      <c r="B146" s="107"/>
      <c r="C146" s="107"/>
      <c r="D146" s="107"/>
      <c r="F146" s="107" t="s">
        <v>127</v>
      </c>
      <c r="G146" s="107"/>
      <c r="H146" s="134">
        <f>Revenue!M$6*'Master Input Tab'!$B$8</f>
        <v>2092.2462959999998</v>
      </c>
      <c r="I146" s="134">
        <f>Revenue!N$6*'Master Input Tab'!$B$8</f>
        <v>2123.6299904399998</v>
      </c>
      <c r="J146" s="134">
        <f>Revenue!O$6*'Master Input Tab'!$B$8</f>
        <v>2155.4844402965996</v>
      </c>
      <c r="K146" s="134">
        <f>Revenue!P$6*'Master Input Tab'!$B$8</f>
        <v>2187.8167069010478</v>
      </c>
      <c r="L146" s="134">
        <f>Revenue!Q$6*'Master Input Tab'!$B$8</f>
        <v>2220.6339575045636</v>
      </c>
      <c r="M146" s="134">
        <v>0</v>
      </c>
      <c r="N146" s="134">
        <v>0</v>
      </c>
      <c r="O146" s="134">
        <v>0</v>
      </c>
      <c r="P146" s="134">
        <v>0</v>
      </c>
      <c r="Q146" s="134">
        <v>0</v>
      </c>
      <c r="R146" s="134">
        <v>0</v>
      </c>
      <c r="S146" s="134">
        <v>0</v>
      </c>
      <c r="T146" s="134">
        <v>0</v>
      </c>
      <c r="U146" s="134">
        <v>0</v>
      </c>
      <c r="V146" s="134">
        <f>$S$8*'Master Input Tab'!$B$8</f>
        <v>2092.2462959999998</v>
      </c>
      <c r="W146" s="134">
        <v>0</v>
      </c>
      <c r="X146" s="134">
        <v>0</v>
      </c>
      <c r="Y146" s="135">
        <f t="shared" si="17"/>
        <v>2092.2462959999998</v>
      </c>
      <c r="Z146" s="113">
        <f t="shared" si="16"/>
        <v>0</v>
      </c>
    </row>
    <row r="147" spans="1:26" ht="15.75" thickBot="1" x14ac:dyDescent="0.3">
      <c r="A147" s="107"/>
      <c r="B147" s="107"/>
      <c r="C147" s="107"/>
      <c r="D147" s="107" t="s">
        <v>165</v>
      </c>
      <c r="E147" s="107"/>
      <c r="F147" s="107"/>
      <c r="G147" s="107"/>
      <c r="H147" s="118">
        <f>ROUND(SUM(H142:H146),5)</f>
        <v>2615.3078700000001</v>
      </c>
      <c r="I147" s="118">
        <f t="shared" ref="I147:Y147" si="20">ROUND(SUM(I142:I146),5)</f>
        <v>2654.5374900000002</v>
      </c>
      <c r="J147" s="118">
        <f t="shared" si="20"/>
        <v>2694.3555500000002</v>
      </c>
      <c r="K147" s="118">
        <f t="shared" si="20"/>
        <v>2734.77088</v>
      </c>
      <c r="L147" s="118">
        <f t="shared" si="20"/>
        <v>2775.7924499999999</v>
      </c>
      <c r="M147" s="118">
        <f t="shared" si="20"/>
        <v>43.588459999999998</v>
      </c>
      <c r="N147" s="118">
        <f t="shared" si="20"/>
        <v>43.588459999999998</v>
      </c>
      <c r="O147" s="118">
        <f t="shared" si="20"/>
        <v>43.588459999999998</v>
      </c>
      <c r="P147" s="118">
        <f t="shared" si="20"/>
        <v>43.588459999999998</v>
      </c>
      <c r="Q147" s="118">
        <f t="shared" si="20"/>
        <v>43.588459999999998</v>
      </c>
      <c r="R147" s="118">
        <f t="shared" si="20"/>
        <v>43.588459999999998</v>
      </c>
      <c r="S147" s="118">
        <f t="shared" si="20"/>
        <v>43.588459999999998</v>
      </c>
      <c r="T147" s="118">
        <f t="shared" si="20"/>
        <v>43.588459999999998</v>
      </c>
      <c r="U147" s="118">
        <f t="shared" si="20"/>
        <v>43.588459999999998</v>
      </c>
      <c r="V147" s="118">
        <f t="shared" si="20"/>
        <v>2135.8347600000002</v>
      </c>
      <c r="W147" s="118">
        <f t="shared" si="20"/>
        <v>43.588459999999998</v>
      </c>
      <c r="X147" s="118">
        <f t="shared" si="20"/>
        <v>43.588459999999998</v>
      </c>
      <c r="Y147" s="118">
        <f t="shared" si="20"/>
        <v>2615.3078700000001</v>
      </c>
      <c r="Z147" s="113">
        <f t="shared" si="16"/>
        <v>0</v>
      </c>
    </row>
    <row r="148" spans="1:26" hidden="1" x14ac:dyDescent="0.25">
      <c r="A148" s="107"/>
      <c r="B148" s="107"/>
      <c r="C148" s="107"/>
      <c r="D148" s="107" t="s">
        <v>107</v>
      </c>
      <c r="E148" s="107"/>
      <c r="F148" s="107"/>
      <c r="G148" s="107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30"/>
    </row>
    <row r="149" spans="1:26" hidden="1" x14ac:dyDescent="0.25">
      <c r="A149" s="107"/>
      <c r="B149" s="107"/>
      <c r="C149" s="107"/>
      <c r="D149" s="107"/>
      <c r="F149" s="132" t="s">
        <v>108</v>
      </c>
      <c r="G149" s="107"/>
      <c r="H149" s="133">
        <v>0</v>
      </c>
      <c r="I149" s="133">
        <v>0</v>
      </c>
      <c r="J149" s="133">
        <v>0</v>
      </c>
      <c r="K149" s="133">
        <v>0</v>
      </c>
      <c r="L149" s="133">
        <v>0</v>
      </c>
      <c r="M149" s="133">
        <v>0</v>
      </c>
      <c r="N149" s="133">
        <v>0</v>
      </c>
      <c r="O149" s="133">
        <v>0</v>
      </c>
      <c r="P149" s="133">
        <v>0</v>
      </c>
      <c r="Q149" s="133">
        <v>0</v>
      </c>
      <c r="R149" s="133">
        <v>0</v>
      </c>
      <c r="S149" s="133">
        <v>0</v>
      </c>
      <c r="T149" s="133">
        <v>0</v>
      </c>
      <c r="U149" s="133">
        <v>0</v>
      </c>
      <c r="V149" s="133">
        <v>0</v>
      </c>
      <c r="W149" s="133">
        <v>0</v>
      </c>
      <c r="X149" s="133">
        <v>0</v>
      </c>
      <c r="Y149" s="130">
        <f t="shared" si="17"/>
        <v>0</v>
      </c>
      <c r="Z149" s="113">
        <f t="shared" si="16"/>
        <v>0</v>
      </c>
    </row>
    <row r="150" spans="1:26" ht="15.75" hidden="1" thickBot="1" x14ac:dyDescent="0.3">
      <c r="A150" s="107"/>
      <c r="B150" s="107"/>
      <c r="C150" s="107"/>
      <c r="D150" s="107"/>
      <c r="F150" s="132" t="s">
        <v>109</v>
      </c>
      <c r="G150" s="107"/>
      <c r="H150" s="134">
        <v>0</v>
      </c>
      <c r="I150" s="134">
        <v>0</v>
      </c>
      <c r="J150" s="134">
        <v>0</v>
      </c>
      <c r="K150" s="134">
        <v>0</v>
      </c>
      <c r="L150" s="134">
        <v>0</v>
      </c>
      <c r="M150" s="134">
        <v>0</v>
      </c>
      <c r="N150" s="134">
        <v>0</v>
      </c>
      <c r="O150" s="134">
        <v>0</v>
      </c>
      <c r="P150" s="134">
        <v>0</v>
      </c>
      <c r="Q150" s="134">
        <v>0</v>
      </c>
      <c r="R150" s="134">
        <v>0</v>
      </c>
      <c r="S150" s="134">
        <v>0</v>
      </c>
      <c r="T150" s="134">
        <v>0</v>
      </c>
      <c r="U150" s="134">
        <v>0</v>
      </c>
      <c r="V150" s="134">
        <v>0</v>
      </c>
      <c r="W150" s="134">
        <v>0</v>
      </c>
      <c r="X150" s="134">
        <v>0</v>
      </c>
      <c r="Y150" s="135">
        <f t="shared" si="17"/>
        <v>0</v>
      </c>
      <c r="Z150" s="113">
        <f t="shared" si="16"/>
        <v>0</v>
      </c>
    </row>
    <row r="151" spans="1:26" hidden="1" x14ac:dyDescent="0.25">
      <c r="A151" s="107"/>
      <c r="B151" s="107"/>
      <c r="C151" s="107"/>
      <c r="D151" s="107" t="s">
        <v>110</v>
      </c>
      <c r="E151" s="107"/>
      <c r="F151" s="107"/>
      <c r="G151" s="107"/>
      <c r="H151" s="118">
        <f>ROUND(SUM(H149:H150),5)</f>
        <v>0</v>
      </c>
      <c r="I151" s="118">
        <f t="shared" ref="I151:Y151" si="21">ROUND(SUM(I149:I150),5)</f>
        <v>0</v>
      </c>
      <c r="J151" s="118">
        <f t="shared" si="21"/>
        <v>0</v>
      </c>
      <c r="K151" s="118">
        <f t="shared" si="21"/>
        <v>0</v>
      </c>
      <c r="L151" s="118">
        <f t="shared" si="21"/>
        <v>0</v>
      </c>
      <c r="M151" s="118">
        <f t="shared" si="21"/>
        <v>0</v>
      </c>
      <c r="N151" s="118">
        <f t="shared" si="21"/>
        <v>0</v>
      </c>
      <c r="O151" s="118">
        <f t="shared" si="21"/>
        <v>0</v>
      </c>
      <c r="P151" s="118">
        <f t="shared" si="21"/>
        <v>0</v>
      </c>
      <c r="Q151" s="118">
        <f t="shared" si="21"/>
        <v>0</v>
      </c>
      <c r="R151" s="118">
        <f t="shared" si="21"/>
        <v>0</v>
      </c>
      <c r="S151" s="118">
        <f t="shared" si="21"/>
        <v>0</v>
      </c>
      <c r="T151" s="118">
        <f t="shared" si="21"/>
        <v>0</v>
      </c>
      <c r="U151" s="118">
        <f t="shared" si="21"/>
        <v>0</v>
      </c>
      <c r="V151" s="118">
        <f t="shared" si="21"/>
        <v>0</v>
      </c>
      <c r="W151" s="118">
        <f t="shared" si="21"/>
        <v>0</v>
      </c>
      <c r="X151" s="118">
        <f t="shared" si="21"/>
        <v>0</v>
      </c>
      <c r="Y151" s="118">
        <f t="shared" si="21"/>
        <v>0</v>
      </c>
      <c r="Z151" s="113">
        <f t="shared" si="16"/>
        <v>0</v>
      </c>
    </row>
    <row r="152" spans="1:26" hidden="1" x14ac:dyDescent="0.25">
      <c r="A152" s="107"/>
      <c r="B152" s="107"/>
      <c r="C152" s="107"/>
      <c r="E152" s="107"/>
      <c r="F152" s="107" t="s">
        <v>166</v>
      </c>
      <c r="G152" s="107"/>
      <c r="H152" s="118">
        <f>Finance!M9</f>
        <v>0</v>
      </c>
      <c r="I152" s="118">
        <f>Finance!N9</f>
        <v>0</v>
      </c>
      <c r="J152" s="118">
        <f>Finance!O9</f>
        <v>0</v>
      </c>
      <c r="K152" s="118">
        <f>Finance!P9</f>
        <v>0</v>
      </c>
      <c r="L152" s="118">
        <f>Finance!Q9</f>
        <v>0</v>
      </c>
      <c r="M152" s="133">
        <f>Finance!C22</f>
        <v>0</v>
      </c>
      <c r="N152" s="133">
        <f>Finance!D22</f>
        <v>0</v>
      </c>
      <c r="O152" s="133">
        <f>Finance!E22</f>
        <v>0</v>
      </c>
      <c r="P152" s="133">
        <f>Finance!F22</f>
        <v>0</v>
      </c>
      <c r="Q152" s="133">
        <f>Finance!G22</f>
        <v>0</v>
      </c>
      <c r="R152" s="133">
        <f>Finance!H22</f>
        <v>0</v>
      </c>
      <c r="S152" s="133">
        <f>Finance!I22</f>
        <v>0</v>
      </c>
      <c r="T152" s="133">
        <f>Finance!J22</f>
        <v>0</v>
      </c>
      <c r="U152" s="133">
        <f>Finance!K22</f>
        <v>0</v>
      </c>
      <c r="V152" s="133">
        <f>Finance!L22</f>
        <v>0</v>
      </c>
      <c r="W152" s="133">
        <f>Finance!M22</f>
        <v>0</v>
      </c>
      <c r="X152" s="133">
        <f>Finance!N22</f>
        <v>0</v>
      </c>
      <c r="Y152" s="130">
        <f t="shared" si="17"/>
        <v>0</v>
      </c>
      <c r="Z152" s="113">
        <f t="shared" si="16"/>
        <v>0</v>
      </c>
    </row>
    <row r="153" spans="1:26" hidden="1" x14ac:dyDescent="0.25">
      <c r="A153" s="107"/>
      <c r="B153" s="107"/>
      <c r="C153" s="107"/>
      <c r="E153" s="107"/>
      <c r="F153" s="107" t="s">
        <v>266</v>
      </c>
      <c r="G153" s="107"/>
      <c r="H153" s="133">
        <v>0</v>
      </c>
      <c r="I153" s="133">
        <v>0</v>
      </c>
      <c r="J153" s="133">
        <v>0</v>
      </c>
      <c r="K153" s="133">
        <v>0</v>
      </c>
      <c r="L153" s="133">
        <v>0</v>
      </c>
      <c r="M153" s="133">
        <v>0</v>
      </c>
      <c r="N153" s="133">
        <v>0</v>
      </c>
      <c r="O153" s="133">
        <v>0</v>
      </c>
      <c r="P153" s="133">
        <v>0</v>
      </c>
      <c r="Q153" s="133">
        <v>0</v>
      </c>
      <c r="R153" s="133">
        <v>0</v>
      </c>
      <c r="S153" s="133">
        <v>0</v>
      </c>
      <c r="T153" s="133">
        <v>0</v>
      </c>
      <c r="U153" s="133">
        <v>0</v>
      </c>
      <c r="V153" s="133">
        <v>0</v>
      </c>
      <c r="W153" s="133">
        <v>0</v>
      </c>
      <c r="X153" s="133">
        <v>0</v>
      </c>
      <c r="Y153" s="130">
        <f t="shared" ref="Y153" si="22">SUM(M153:X153)</f>
        <v>0</v>
      </c>
      <c r="Z153" s="113">
        <f t="shared" ref="Z153" si="23">ROUND(Y153-H153,0)</f>
        <v>0</v>
      </c>
    </row>
    <row r="154" spans="1:26" ht="15.75" hidden="1" thickBot="1" x14ac:dyDescent="0.3">
      <c r="A154" s="107"/>
      <c r="B154" s="107"/>
      <c r="C154" s="107"/>
      <c r="E154" s="107"/>
      <c r="F154" s="107" t="s">
        <v>167</v>
      </c>
      <c r="G154" s="107"/>
      <c r="H154" s="134">
        <v>0</v>
      </c>
      <c r="I154" s="134">
        <v>0</v>
      </c>
      <c r="J154" s="134">
        <v>0</v>
      </c>
      <c r="K154" s="134">
        <v>0</v>
      </c>
      <c r="L154" s="134">
        <v>0</v>
      </c>
      <c r="M154" s="134">
        <v>0</v>
      </c>
      <c r="N154" s="134">
        <v>0</v>
      </c>
      <c r="O154" s="134">
        <v>0</v>
      </c>
      <c r="P154" s="134">
        <v>0</v>
      </c>
      <c r="Q154" s="134">
        <v>0</v>
      </c>
      <c r="R154" s="134">
        <v>0</v>
      </c>
      <c r="S154" s="134">
        <v>0</v>
      </c>
      <c r="T154" s="134">
        <v>0</v>
      </c>
      <c r="U154" s="134">
        <v>0</v>
      </c>
      <c r="V154" s="134">
        <v>0</v>
      </c>
      <c r="W154" s="134">
        <v>0</v>
      </c>
      <c r="X154" s="134">
        <v>0</v>
      </c>
      <c r="Y154" s="130">
        <f t="shared" si="17"/>
        <v>0</v>
      </c>
      <c r="Z154" s="113">
        <f t="shared" si="16"/>
        <v>0</v>
      </c>
    </row>
    <row r="155" spans="1:26" ht="15.75" thickBot="1" x14ac:dyDescent="0.3">
      <c r="A155" s="107"/>
      <c r="B155" s="107"/>
      <c r="C155" s="107" t="s">
        <v>164</v>
      </c>
      <c r="D155" s="107"/>
      <c r="E155" s="107"/>
      <c r="F155" s="107"/>
      <c r="G155" s="107"/>
      <c r="H155" s="136">
        <f>ROUND(H140+H147+SUM(H151:H154),5)</f>
        <v>77615.307870000004</v>
      </c>
      <c r="I155" s="136">
        <f t="shared" ref="I155:Y155" si="24">ROUND(I140+I147+SUM(I151:I154),5)</f>
        <v>77654.537490000002</v>
      </c>
      <c r="J155" s="136">
        <f t="shared" si="24"/>
        <v>52694.35555</v>
      </c>
      <c r="K155" s="136">
        <f t="shared" si="24"/>
        <v>52734.770879999996</v>
      </c>
      <c r="L155" s="136">
        <f t="shared" si="24"/>
        <v>52775.792450000001</v>
      </c>
      <c r="M155" s="136">
        <f t="shared" si="24"/>
        <v>43.588459999999998</v>
      </c>
      <c r="N155" s="136">
        <f t="shared" si="24"/>
        <v>43.588459999999998</v>
      </c>
      <c r="O155" s="136">
        <f t="shared" si="24"/>
        <v>43.588459999999998</v>
      </c>
      <c r="P155" s="136">
        <f t="shared" si="24"/>
        <v>43.588459999999998</v>
      </c>
      <c r="Q155" s="136">
        <f t="shared" si="24"/>
        <v>43.588459999999998</v>
      </c>
      <c r="R155" s="136">
        <f t="shared" si="24"/>
        <v>25043.588459999999</v>
      </c>
      <c r="S155" s="136">
        <f t="shared" si="24"/>
        <v>25043.588459999999</v>
      </c>
      <c r="T155" s="136">
        <f t="shared" si="24"/>
        <v>25043.588459999999</v>
      </c>
      <c r="U155" s="136">
        <f t="shared" si="24"/>
        <v>43.588459999999998</v>
      </c>
      <c r="V155" s="136">
        <f t="shared" si="24"/>
        <v>2135.8347600000002</v>
      </c>
      <c r="W155" s="136">
        <f t="shared" si="24"/>
        <v>43.588459999999998</v>
      </c>
      <c r="X155" s="136">
        <f t="shared" si="24"/>
        <v>43.588459999999998</v>
      </c>
      <c r="Y155" s="136">
        <f t="shared" si="24"/>
        <v>77615.307870000004</v>
      </c>
      <c r="Z155" s="113">
        <f t="shared" si="16"/>
        <v>0</v>
      </c>
    </row>
    <row r="156" spans="1:26" ht="15.75" thickBot="1" x14ac:dyDescent="0.3">
      <c r="A156" s="107" t="s">
        <v>168</v>
      </c>
      <c r="B156" s="107"/>
      <c r="C156" s="107"/>
      <c r="D156" s="107"/>
      <c r="E156" s="107"/>
      <c r="F156" s="107"/>
      <c r="G156" s="107"/>
      <c r="H156" s="136">
        <f>ROUND(+H26-H155,5)</f>
        <v>-25309.15047</v>
      </c>
      <c r="I156" s="136">
        <f t="shared" ref="I156:Y156" si="25">ROUND(+I26-I155,5)</f>
        <v>-24563.78773</v>
      </c>
      <c r="J156" s="136">
        <f t="shared" si="25"/>
        <v>1192.7554600000001</v>
      </c>
      <c r="K156" s="136">
        <f t="shared" si="25"/>
        <v>1960.64679</v>
      </c>
      <c r="L156" s="136">
        <f t="shared" si="25"/>
        <v>2740.0564899999999</v>
      </c>
      <c r="M156" s="136">
        <f t="shared" si="25"/>
        <v>-43.588459999999998</v>
      </c>
      <c r="N156" s="136">
        <f t="shared" si="25"/>
        <v>-43.588459999999998</v>
      </c>
      <c r="O156" s="136">
        <f t="shared" si="25"/>
        <v>-43.588459999999998</v>
      </c>
      <c r="P156" s="136">
        <f t="shared" si="25"/>
        <v>-43.588459999999998</v>
      </c>
      <c r="Q156" s="136">
        <f t="shared" si="25"/>
        <v>-43.588459999999998</v>
      </c>
      <c r="R156" s="136">
        <f t="shared" si="25"/>
        <v>-25043.588459999999</v>
      </c>
      <c r="S156" s="136">
        <f t="shared" si="25"/>
        <v>27262.568940000001</v>
      </c>
      <c r="T156" s="136">
        <f t="shared" si="25"/>
        <v>-25043.588459999999</v>
      </c>
      <c r="U156" s="136">
        <f t="shared" si="25"/>
        <v>-43.588459999999998</v>
      </c>
      <c r="V156" s="136">
        <f t="shared" si="25"/>
        <v>-2135.8347600000002</v>
      </c>
      <c r="W156" s="136">
        <f t="shared" si="25"/>
        <v>-43.588459999999998</v>
      </c>
      <c r="X156" s="136">
        <f t="shared" si="25"/>
        <v>-43.588459999999998</v>
      </c>
      <c r="Y156" s="136">
        <f t="shared" si="25"/>
        <v>-25309.15047</v>
      </c>
      <c r="Z156" s="113">
        <f t="shared" si="16"/>
        <v>0</v>
      </c>
    </row>
    <row r="157" spans="1:26" ht="15.75" thickBot="1" x14ac:dyDescent="0.3">
      <c r="A157" s="107"/>
      <c r="B157" s="107"/>
      <c r="C157" s="107"/>
      <c r="D157" s="107"/>
      <c r="E157" s="107"/>
      <c r="F157" s="107"/>
      <c r="G157" s="107"/>
      <c r="H157" s="137">
        <f>H156</f>
        <v>-25309.15047</v>
      </c>
      <c r="I157" s="137">
        <f t="shared" ref="I157:Y157" si="26">I156</f>
        <v>-24563.78773</v>
      </c>
      <c r="J157" s="137">
        <f t="shared" si="26"/>
        <v>1192.7554600000001</v>
      </c>
      <c r="K157" s="137">
        <f t="shared" si="26"/>
        <v>1960.64679</v>
      </c>
      <c r="L157" s="137">
        <f t="shared" si="26"/>
        <v>2740.0564899999999</v>
      </c>
      <c r="M157" s="137">
        <f t="shared" si="26"/>
        <v>-43.588459999999998</v>
      </c>
      <c r="N157" s="137">
        <f t="shared" si="26"/>
        <v>-43.588459999999998</v>
      </c>
      <c r="O157" s="137">
        <f t="shared" si="26"/>
        <v>-43.588459999999998</v>
      </c>
      <c r="P157" s="137">
        <f t="shared" si="26"/>
        <v>-43.588459999999998</v>
      </c>
      <c r="Q157" s="137">
        <f t="shared" si="26"/>
        <v>-43.588459999999998</v>
      </c>
      <c r="R157" s="137">
        <f t="shared" si="26"/>
        <v>-25043.588459999999</v>
      </c>
      <c r="S157" s="137">
        <f t="shared" si="26"/>
        <v>27262.568940000001</v>
      </c>
      <c r="T157" s="137">
        <f t="shared" si="26"/>
        <v>-25043.588459999999</v>
      </c>
      <c r="U157" s="137">
        <f t="shared" si="26"/>
        <v>-43.588459999999998</v>
      </c>
      <c r="V157" s="137">
        <f t="shared" si="26"/>
        <v>-2135.8347600000002</v>
      </c>
      <c r="W157" s="137">
        <f t="shared" si="26"/>
        <v>-43.588459999999998</v>
      </c>
      <c r="X157" s="137">
        <f t="shared" si="26"/>
        <v>-43.588459999999998</v>
      </c>
      <c r="Y157" s="137">
        <f t="shared" si="26"/>
        <v>-25309.15047</v>
      </c>
      <c r="Z157" s="113">
        <f t="shared" si="16"/>
        <v>0</v>
      </c>
    </row>
    <row r="158" spans="1:26" ht="15.75" thickTop="1" x14ac:dyDescent="0.25"/>
  </sheetData>
  <sheetProtection password="CC20" sheet="1" objects="1" scenarios="1"/>
  <mergeCells count="2">
    <mergeCell ref="M2:Y2"/>
    <mergeCell ref="H2:L2"/>
  </mergeCells>
  <pageMargins left="0.7" right="0.7" top="0.75" bottom="0.75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AA158"/>
  <sheetViews>
    <sheetView zoomScaleNormal="100" workbookViewId="0">
      <pane xSplit="7" ySplit="4" topLeftCell="M5" activePane="bottomRight" state="frozen"/>
      <selection sqref="A1:XFD1048576"/>
      <selection pane="topRight" sqref="A1:XFD1048576"/>
      <selection pane="bottomLeft" sqref="A1:XFD1048576"/>
      <selection pane="bottomRight" activeCell="M5" sqref="M5"/>
    </sheetView>
  </sheetViews>
  <sheetFormatPr defaultRowHeight="15" outlineLevelCol="1" x14ac:dyDescent="0.25"/>
  <cols>
    <col min="1" max="6" width="3" style="119" customWidth="1"/>
    <col min="7" max="7" width="30.140625" style="119" customWidth="1"/>
    <col min="8" max="12" width="15.140625" style="138" hidden="1" customWidth="1" outlineLevel="1"/>
    <col min="13" max="13" width="10.140625" style="109" customWidth="1" collapsed="1"/>
    <col min="14" max="14" width="10.5703125" style="109" customWidth="1"/>
    <col min="15" max="24" width="9.28515625" style="109" bestFit="1" customWidth="1"/>
    <col min="25" max="25" width="12.7109375" style="109" bestFit="1" customWidth="1"/>
    <col min="26" max="26" width="11.28515625" style="113" hidden="1" customWidth="1"/>
    <col min="27" max="16384" width="9.140625" style="94"/>
  </cols>
  <sheetData>
    <row r="1" spans="1:27" ht="15.75" thickBot="1" x14ac:dyDescent="0.3">
      <c r="A1" s="107"/>
      <c r="B1" s="107"/>
      <c r="C1" s="107"/>
      <c r="D1" s="107"/>
      <c r="E1" s="107"/>
      <c r="F1" s="107"/>
      <c r="G1" s="144" t="s">
        <v>271</v>
      </c>
      <c r="H1" s="109"/>
      <c r="I1" s="109"/>
      <c r="J1" s="109"/>
      <c r="K1" s="109"/>
      <c r="L1" s="109"/>
      <c r="N1" s="110"/>
      <c r="O1" s="111"/>
      <c r="Q1" s="110"/>
      <c r="R1" s="112"/>
    </row>
    <row r="2" spans="1:27" ht="16.5" thickBot="1" x14ac:dyDescent="0.35">
      <c r="A2" s="114"/>
      <c r="B2" s="114"/>
      <c r="C2" s="114"/>
      <c r="D2" s="114"/>
      <c r="E2" s="114"/>
      <c r="F2" s="114"/>
      <c r="G2" s="114"/>
      <c r="H2" s="115" t="s">
        <v>239</v>
      </c>
      <c r="I2" s="116"/>
      <c r="J2" s="116"/>
      <c r="K2" s="116"/>
      <c r="L2" s="117"/>
      <c r="M2" s="115" t="str">
        <f>'Master Input Tab'!$B$2&amp;" Budget"</f>
        <v>2014 Budget</v>
      </c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</row>
    <row r="3" spans="1:27" x14ac:dyDescent="0.25">
      <c r="A3" s="107"/>
      <c r="B3" s="107"/>
      <c r="C3" s="107"/>
      <c r="D3" s="107"/>
      <c r="E3" s="107"/>
      <c r="F3" s="107"/>
      <c r="G3" s="107"/>
      <c r="H3" s="118"/>
      <c r="I3" s="118"/>
      <c r="J3" s="118"/>
      <c r="K3" s="118"/>
      <c r="L3" s="118"/>
    </row>
    <row r="4" spans="1:27" ht="15.75" thickBot="1" x14ac:dyDescent="0.3">
      <c r="A4" s="107"/>
      <c r="B4" s="107"/>
      <c r="D4" s="107"/>
      <c r="E4" s="107"/>
      <c r="F4" s="107"/>
      <c r="G4" s="107"/>
      <c r="H4" s="102" t="str">
        <f>'Total Summary'!H4</f>
        <v>2014</v>
      </c>
      <c r="I4" s="102">
        <f>'Total Summary'!I4</f>
        <v>2015</v>
      </c>
      <c r="J4" s="102">
        <f>'Total Summary'!J4</f>
        <v>2016</v>
      </c>
      <c r="K4" s="102">
        <f>'Total Summary'!K4</f>
        <v>2017</v>
      </c>
      <c r="L4" s="102">
        <f>'Total Summary'!L4</f>
        <v>2018</v>
      </c>
      <c r="M4" s="121" t="s">
        <v>120</v>
      </c>
      <c r="N4" s="121" t="s">
        <v>121</v>
      </c>
      <c r="O4" s="121" t="s">
        <v>122</v>
      </c>
      <c r="P4" s="121" t="s">
        <v>129</v>
      </c>
      <c r="Q4" s="121" t="s">
        <v>130</v>
      </c>
      <c r="R4" s="121" t="s">
        <v>31</v>
      </c>
      <c r="S4" s="121" t="s">
        <v>24</v>
      </c>
      <c r="T4" s="121" t="s">
        <v>26</v>
      </c>
      <c r="U4" s="121" t="s">
        <v>27</v>
      </c>
      <c r="V4" s="121" t="s">
        <v>25</v>
      </c>
      <c r="W4" s="121" t="s">
        <v>28</v>
      </c>
      <c r="X4" s="121" t="s">
        <v>29</v>
      </c>
      <c r="Y4" s="122">
        <f>'Master Input Tab'!$B$2</f>
        <v>2014</v>
      </c>
      <c r="Z4" s="123" t="s">
        <v>131</v>
      </c>
      <c r="AA4" s="145"/>
    </row>
    <row r="5" spans="1:27" ht="16.5" customHeight="1" x14ac:dyDescent="0.25">
      <c r="A5" s="107"/>
      <c r="B5" s="107"/>
      <c r="C5" s="107" t="s">
        <v>138</v>
      </c>
      <c r="D5" s="107"/>
      <c r="E5" s="107"/>
      <c r="F5" s="107"/>
      <c r="G5" s="107"/>
      <c r="H5" s="125"/>
      <c r="I5" s="125"/>
      <c r="J5" s="125"/>
      <c r="K5" s="125"/>
      <c r="L5" s="125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7"/>
      <c r="Z5" s="128"/>
    </row>
    <row r="6" spans="1:27" x14ac:dyDescent="0.25">
      <c r="A6" s="107"/>
      <c r="B6" s="107"/>
      <c r="C6" s="107"/>
      <c r="E6" s="107"/>
      <c r="F6" s="107" t="s">
        <v>139</v>
      </c>
      <c r="G6" s="107"/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0</v>
      </c>
      <c r="W6" s="118">
        <v>0</v>
      </c>
      <c r="X6" s="118">
        <v>0</v>
      </c>
      <c r="Y6" s="130">
        <f>SUM(M6:X6)</f>
        <v>0</v>
      </c>
      <c r="Z6" s="113">
        <f>ROUND(Y6-H6,0)</f>
        <v>0</v>
      </c>
    </row>
    <row r="7" spans="1:27" x14ac:dyDescent="0.25">
      <c r="A7" s="107"/>
      <c r="B7" s="107"/>
      <c r="C7" s="107"/>
      <c r="E7" s="107"/>
      <c r="F7" s="107" t="s">
        <v>140</v>
      </c>
      <c r="G7" s="107"/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0</v>
      </c>
      <c r="W7" s="118">
        <v>0</v>
      </c>
      <c r="X7" s="118">
        <v>0</v>
      </c>
      <c r="Y7" s="130">
        <f t="shared" ref="Y7:Y70" si="0">SUM(M7:X7)</f>
        <v>0</v>
      </c>
      <c r="Z7" s="113">
        <f t="shared" ref="Z7:Z26" si="1">ROUND(Y7-H7,0)</f>
        <v>0</v>
      </c>
    </row>
    <row r="8" spans="1:27" x14ac:dyDescent="0.25">
      <c r="A8" s="107"/>
      <c r="B8" s="107"/>
      <c r="C8" s="107"/>
      <c r="E8" s="107"/>
      <c r="F8" s="107" t="s">
        <v>141</v>
      </c>
      <c r="G8" s="107"/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118">
        <v>0</v>
      </c>
      <c r="T8" s="118">
        <v>0</v>
      </c>
      <c r="U8" s="118">
        <v>0</v>
      </c>
      <c r="V8" s="118">
        <v>0</v>
      </c>
      <c r="W8" s="118">
        <v>0</v>
      </c>
      <c r="X8" s="118">
        <v>0</v>
      </c>
      <c r="Y8" s="130">
        <f t="shared" si="0"/>
        <v>0</v>
      </c>
      <c r="Z8" s="113">
        <f t="shared" si="1"/>
        <v>0</v>
      </c>
    </row>
    <row r="9" spans="1:27" x14ac:dyDescent="0.25">
      <c r="A9" s="107"/>
      <c r="B9" s="107"/>
      <c r="C9" s="107"/>
      <c r="E9" s="107"/>
      <c r="F9" s="107" t="s">
        <v>142</v>
      </c>
      <c r="G9" s="107"/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118">
        <v>0</v>
      </c>
      <c r="T9" s="118">
        <v>0</v>
      </c>
      <c r="U9" s="118">
        <v>0</v>
      </c>
      <c r="V9" s="118">
        <v>0</v>
      </c>
      <c r="W9" s="118">
        <v>0</v>
      </c>
      <c r="X9" s="118">
        <v>0</v>
      </c>
      <c r="Y9" s="130">
        <f t="shared" si="0"/>
        <v>0</v>
      </c>
      <c r="Z9" s="113">
        <f t="shared" si="1"/>
        <v>0</v>
      </c>
    </row>
    <row r="10" spans="1:27" x14ac:dyDescent="0.25">
      <c r="A10" s="107"/>
      <c r="B10" s="107"/>
      <c r="C10" s="107"/>
      <c r="E10" s="107"/>
      <c r="F10" s="107" t="s">
        <v>143</v>
      </c>
      <c r="G10" s="107"/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v>0</v>
      </c>
      <c r="W10" s="118">
        <v>0</v>
      </c>
      <c r="X10" s="118">
        <v>0</v>
      </c>
      <c r="Y10" s="130">
        <f t="shared" si="0"/>
        <v>0</v>
      </c>
      <c r="Z10" s="113">
        <f t="shared" si="1"/>
        <v>0</v>
      </c>
    </row>
    <row r="11" spans="1:27" x14ac:dyDescent="0.25">
      <c r="A11" s="107"/>
      <c r="B11" s="107"/>
      <c r="C11" s="107"/>
      <c r="E11" s="107"/>
      <c r="F11" s="107" t="s">
        <v>144</v>
      </c>
      <c r="G11" s="107"/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118">
        <v>0</v>
      </c>
      <c r="Y11" s="130">
        <f t="shared" si="0"/>
        <v>0</v>
      </c>
      <c r="Z11" s="113">
        <f t="shared" si="1"/>
        <v>0</v>
      </c>
    </row>
    <row r="12" spans="1:27" x14ac:dyDescent="0.25">
      <c r="A12" s="107"/>
      <c r="B12" s="107"/>
      <c r="C12" s="107"/>
      <c r="E12" s="107"/>
      <c r="F12" s="107" t="s">
        <v>145</v>
      </c>
      <c r="G12" s="107"/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30">
        <f t="shared" si="0"/>
        <v>0</v>
      </c>
      <c r="Z12" s="113">
        <f t="shared" si="1"/>
        <v>0</v>
      </c>
    </row>
    <row r="13" spans="1:27" x14ac:dyDescent="0.25">
      <c r="A13" s="107"/>
      <c r="B13" s="107"/>
      <c r="C13" s="107"/>
      <c r="E13" s="107"/>
      <c r="F13" s="107" t="s">
        <v>146</v>
      </c>
      <c r="G13" s="107"/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30">
        <f t="shared" si="0"/>
        <v>0</v>
      </c>
      <c r="Z13" s="113">
        <f t="shared" si="1"/>
        <v>0</v>
      </c>
    </row>
    <row r="14" spans="1:27" x14ac:dyDescent="0.25">
      <c r="A14" s="107"/>
      <c r="B14" s="107"/>
      <c r="C14" s="107"/>
      <c r="E14" s="107"/>
      <c r="F14" s="107" t="s">
        <v>147</v>
      </c>
      <c r="G14" s="107"/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30">
        <f t="shared" si="0"/>
        <v>0</v>
      </c>
      <c r="Z14" s="113">
        <f t="shared" si="1"/>
        <v>0</v>
      </c>
    </row>
    <row r="15" spans="1:27" x14ac:dyDescent="0.25">
      <c r="A15" s="107"/>
      <c r="B15" s="107"/>
      <c r="C15" s="107"/>
      <c r="E15" s="107"/>
      <c r="F15" s="107" t="s">
        <v>148</v>
      </c>
      <c r="G15" s="107"/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30">
        <f t="shared" si="0"/>
        <v>0</v>
      </c>
      <c r="Z15" s="113">
        <f t="shared" si="1"/>
        <v>0</v>
      </c>
    </row>
    <row r="16" spans="1:27" x14ac:dyDescent="0.25">
      <c r="A16" s="107"/>
      <c r="B16" s="107"/>
      <c r="C16" s="107"/>
      <c r="E16" s="107"/>
      <c r="F16" s="107" t="s">
        <v>149</v>
      </c>
      <c r="G16" s="107"/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30">
        <f t="shared" si="0"/>
        <v>0</v>
      </c>
      <c r="Z16" s="113">
        <f t="shared" si="1"/>
        <v>0</v>
      </c>
    </row>
    <row r="17" spans="1:26" x14ac:dyDescent="0.25">
      <c r="A17" s="107"/>
      <c r="B17" s="107"/>
      <c r="C17" s="107"/>
      <c r="E17" s="107"/>
      <c r="F17" s="107" t="s">
        <v>150</v>
      </c>
      <c r="G17" s="107"/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30">
        <f t="shared" si="0"/>
        <v>0</v>
      </c>
      <c r="Z17" s="113">
        <f t="shared" si="1"/>
        <v>0</v>
      </c>
    </row>
    <row r="18" spans="1:26" x14ac:dyDescent="0.25">
      <c r="A18" s="107"/>
      <c r="B18" s="107"/>
      <c r="C18" s="107"/>
      <c r="E18" s="107"/>
      <c r="F18" s="107" t="s">
        <v>151</v>
      </c>
      <c r="G18" s="107"/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30">
        <f t="shared" si="0"/>
        <v>0</v>
      </c>
      <c r="Z18" s="113">
        <f t="shared" si="1"/>
        <v>0</v>
      </c>
    </row>
    <row r="19" spans="1:26" x14ac:dyDescent="0.25">
      <c r="A19" s="107"/>
      <c r="B19" s="107"/>
      <c r="C19" s="107"/>
      <c r="E19" s="107"/>
      <c r="F19" s="107" t="s">
        <v>152</v>
      </c>
      <c r="G19" s="107"/>
      <c r="H19" s="118">
        <f>Revenue!M17</f>
        <v>40267.01909999999</v>
      </c>
      <c r="I19" s="118">
        <f>Revenue!N17</f>
        <v>40871.024386499987</v>
      </c>
      <c r="J19" s="118">
        <f>Revenue!O17</f>
        <v>41484.089752297485</v>
      </c>
      <c r="K19" s="118">
        <f>Revenue!P17</f>
        <v>42106.351098581945</v>
      </c>
      <c r="L19" s="118">
        <f>Revenue!Q17</f>
        <v>42737.94636506067</v>
      </c>
      <c r="M19" s="118">
        <f>Revenue!C43</f>
        <v>0</v>
      </c>
      <c r="N19" s="118">
        <f>Revenue!D43</f>
        <v>0</v>
      </c>
      <c r="O19" s="118">
        <f>Revenue!E43</f>
        <v>0</v>
      </c>
      <c r="P19" s="118">
        <f>Revenue!F43</f>
        <v>0</v>
      </c>
      <c r="Q19" s="118">
        <f>Revenue!G43</f>
        <v>0</v>
      </c>
      <c r="R19" s="118">
        <f>Revenue!H43</f>
        <v>0</v>
      </c>
      <c r="S19" s="118">
        <f>Revenue!I43</f>
        <v>0</v>
      </c>
      <c r="T19" s="118">
        <f>Revenue!J43</f>
        <v>0</v>
      </c>
      <c r="U19" s="118">
        <f>Revenue!K43</f>
        <v>0</v>
      </c>
      <c r="V19" s="118">
        <f>Revenue!L43</f>
        <v>40267.01909999999</v>
      </c>
      <c r="W19" s="118">
        <f>Revenue!M43</f>
        <v>0</v>
      </c>
      <c r="X19" s="118">
        <f>Revenue!N43</f>
        <v>0</v>
      </c>
      <c r="Y19" s="130">
        <f t="shared" si="0"/>
        <v>40267.01909999999</v>
      </c>
      <c r="Z19" s="113">
        <f t="shared" si="1"/>
        <v>0</v>
      </c>
    </row>
    <row r="20" spans="1:26" x14ac:dyDescent="0.25">
      <c r="A20" s="107"/>
      <c r="B20" s="107"/>
      <c r="C20" s="107"/>
      <c r="E20" s="107"/>
      <c r="F20" s="107" t="s">
        <v>153</v>
      </c>
      <c r="G20" s="107"/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30">
        <f t="shared" si="0"/>
        <v>0</v>
      </c>
      <c r="Z20" s="113">
        <f t="shared" si="1"/>
        <v>0</v>
      </c>
    </row>
    <row r="21" spans="1:26" x14ac:dyDescent="0.25">
      <c r="A21" s="107"/>
      <c r="B21" s="107"/>
      <c r="C21" s="107"/>
      <c r="E21" s="107"/>
      <c r="F21" s="107" t="s">
        <v>154</v>
      </c>
      <c r="G21" s="107"/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30">
        <f t="shared" si="0"/>
        <v>0</v>
      </c>
      <c r="Z21" s="113">
        <f t="shared" si="1"/>
        <v>0</v>
      </c>
    </row>
    <row r="22" spans="1:26" x14ac:dyDescent="0.25">
      <c r="A22" s="107"/>
      <c r="B22" s="107"/>
      <c r="C22" s="107"/>
      <c r="E22" s="107"/>
      <c r="F22" s="107" t="s">
        <v>155</v>
      </c>
      <c r="G22" s="107"/>
      <c r="H22" s="118">
        <f>Revenue!M20</f>
        <v>312</v>
      </c>
      <c r="I22" s="118">
        <f>Revenue!N20</f>
        <v>313</v>
      </c>
      <c r="J22" s="118">
        <f>Revenue!O20</f>
        <v>315</v>
      </c>
      <c r="K22" s="118">
        <f>Revenue!P20</f>
        <v>316</v>
      </c>
      <c r="L22" s="118">
        <f>Revenue!Q20</f>
        <v>318</v>
      </c>
      <c r="M22" s="118">
        <f>Revenue!C46</f>
        <v>26</v>
      </c>
      <c r="N22" s="118">
        <f>Revenue!D46</f>
        <v>26</v>
      </c>
      <c r="O22" s="118">
        <f>Revenue!E46</f>
        <v>26</v>
      </c>
      <c r="P22" s="118">
        <f>Revenue!F46</f>
        <v>26</v>
      </c>
      <c r="Q22" s="118">
        <f>Revenue!G46</f>
        <v>26</v>
      </c>
      <c r="R22" s="118">
        <f>Revenue!H46</f>
        <v>26</v>
      </c>
      <c r="S22" s="118">
        <f>Revenue!I46</f>
        <v>26</v>
      </c>
      <c r="T22" s="118">
        <f>Revenue!J46</f>
        <v>26</v>
      </c>
      <c r="U22" s="118">
        <f>Revenue!K46</f>
        <v>26</v>
      </c>
      <c r="V22" s="118">
        <f>Revenue!L46</f>
        <v>26</v>
      </c>
      <c r="W22" s="118">
        <f>Revenue!M46</f>
        <v>26</v>
      </c>
      <c r="X22" s="118">
        <f>Revenue!N46</f>
        <v>26</v>
      </c>
      <c r="Y22" s="130">
        <f t="shared" si="0"/>
        <v>312</v>
      </c>
      <c r="Z22" s="113">
        <f t="shared" si="1"/>
        <v>0</v>
      </c>
    </row>
    <row r="23" spans="1:26" x14ac:dyDescent="0.25">
      <c r="A23" s="107"/>
      <c r="B23" s="107"/>
      <c r="C23" s="107"/>
      <c r="E23" s="107"/>
      <c r="F23" s="107" t="s">
        <v>156</v>
      </c>
      <c r="G23" s="107"/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30">
        <f t="shared" si="0"/>
        <v>0</v>
      </c>
      <c r="Z23" s="113">
        <f t="shared" si="1"/>
        <v>0</v>
      </c>
    </row>
    <row r="24" spans="1:26" ht="15.75" thickBot="1" x14ac:dyDescent="0.3">
      <c r="A24" s="107"/>
      <c r="B24" s="107"/>
      <c r="C24" s="107"/>
      <c r="E24" s="107"/>
      <c r="F24" s="107" t="s">
        <v>157</v>
      </c>
      <c r="G24" s="107"/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18">
        <v>0</v>
      </c>
      <c r="U24" s="118">
        <v>0</v>
      </c>
      <c r="V24" s="118">
        <v>0</v>
      </c>
      <c r="W24" s="118">
        <v>0</v>
      </c>
      <c r="X24" s="118">
        <v>0</v>
      </c>
      <c r="Y24" s="130">
        <f t="shared" si="0"/>
        <v>0</v>
      </c>
      <c r="Z24" s="113">
        <f t="shared" si="1"/>
        <v>0</v>
      </c>
    </row>
    <row r="25" spans="1:26" ht="15.75" thickBot="1" x14ac:dyDescent="0.3">
      <c r="A25" s="107"/>
      <c r="B25" s="107"/>
      <c r="C25" s="107" t="s">
        <v>158</v>
      </c>
      <c r="D25" s="107"/>
      <c r="E25" s="107"/>
      <c r="F25" s="107"/>
      <c r="G25" s="107"/>
      <c r="H25" s="131">
        <f>ROUND(SUM(H6:H24),5)</f>
        <v>40579.019099999998</v>
      </c>
      <c r="I25" s="131">
        <f t="shared" ref="I25:X25" si="2">ROUND(SUM(I6:I24),5)</f>
        <v>41184.024389999999</v>
      </c>
      <c r="J25" s="131">
        <f t="shared" si="2"/>
        <v>41799.089749999999</v>
      </c>
      <c r="K25" s="131">
        <f t="shared" si="2"/>
        <v>42422.3511</v>
      </c>
      <c r="L25" s="131">
        <f t="shared" si="2"/>
        <v>43055.946369999998</v>
      </c>
      <c r="M25" s="131">
        <f t="shared" si="2"/>
        <v>26</v>
      </c>
      <c r="N25" s="131">
        <f t="shared" si="2"/>
        <v>26</v>
      </c>
      <c r="O25" s="131">
        <f t="shared" si="2"/>
        <v>26</v>
      </c>
      <c r="P25" s="131">
        <f t="shared" si="2"/>
        <v>26</v>
      </c>
      <c r="Q25" s="131">
        <f t="shared" si="2"/>
        <v>26</v>
      </c>
      <c r="R25" s="131">
        <f t="shared" si="2"/>
        <v>26</v>
      </c>
      <c r="S25" s="131">
        <f t="shared" si="2"/>
        <v>26</v>
      </c>
      <c r="T25" s="131">
        <f t="shared" si="2"/>
        <v>26</v>
      </c>
      <c r="U25" s="131">
        <f t="shared" si="2"/>
        <v>26</v>
      </c>
      <c r="V25" s="131">
        <f t="shared" si="2"/>
        <v>40293.019099999998</v>
      </c>
      <c r="W25" s="131">
        <f t="shared" si="2"/>
        <v>26</v>
      </c>
      <c r="X25" s="131">
        <f t="shared" si="2"/>
        <v>26</v>
      </c>
      <c r="Y25" s="131">
        <f>ROUND(SUM(Y6:Y24),5)</f>
        <v>40579.019099999998</v>
      </c>
      <c r="Z25" s="113">
        <f t="shared" si="1"/>
        <v>0</v>
      </c>
    </row>
    <row r="26" spans="1:26" x14ac:dyDescent="0.25">
      <c r="A26" s="107"/>
      <c r="B26" s="107" t="s">
        <v>159</v>
      </c>
      <c r="C26" s="107"/>
      <c r="D26" s="107"/>
      <c r="E26" s="107"/>
      <c r="F26" s="107"/>
      <c r="G26" s="107"/>
      <c r="H26" s="118">
        <f>H25</f>
        <v>40579.019099999998</v>
      </c>
      <c r="I26" s="118">
        <f t="shared" ref="I26:X26" si="3">I25</f>
        <v>41184.024389999999</v>
      </c>
      <c r="J26" s="118">
        <f t="shared" si="3"/>
        <v>41799.089749999999</v>
      </c>
      <c r="K26" s="118">
        <f t="shared" si="3"/>
        <v>42422.3511</v>
      </c>
      <c r="L26" s="118">
        <f t="shared" si="3"/>
        <v>43055.946369999998</v>
      </c>
      <c r="M26" s="118">
        <f t="shared" si="3"/>
        <v>26</v>
      </c>
      <c r="N26" s="118">
        <f t="shared" si="3"/>
        <v>26</v>
      </c>
      <c r="O26" s="118">
        <f t="shared" si="3"/>
        <v>26</v>
      </c>
      <c r="P26" s="118">
        <f t="shared" si="3"/>
        <v>26</v>
      </c>
      <c r="Q26" s="118">
        <f t="shared" si="3"/>
        <v>26</v>
      </c>
      <c r="R26" s="118">
        <f t="shared" si="3"/>
        <v>26</v>
      </c>
      <c r="S26" s="118">
        <f t="shared" si="3"/>
        <v>26</v>
      </c>
      <c r="T26" s="118">
        <f t="shared" si="3"/>
        <v>26</v>
      </c>
      <c r="U26" s="118">
        <f t="shared" si="3"/>
        <v>26</v>
      </c>
      <c r="V26" s="118">
        <f t="shared" si="3"/>
        <v>40293.019099999998</v>
      </c>
      <c r="W26" s="118">
        <f t="shared" si="3"/>
        <v>26</v>
      </c>
      <c r="X26" s="118">
        <f t="shared" si="3"/>
        <v>26</v>
      </c>
      <c r="Y26" s="130">
        <f t="shared" si="0"/>
        <v>40579.019099999998</v>
      </c>
      <c r="Z26" s="113">
        <f t="shared" si="1"/>
        <v>0</v>
      </c>
    </row>
    <row r="27" spans="1:26" x14ac:dyDescent="0.25">
      <c r="A27" s="107"/>
      <c r="B27" s="107"/>
      <c r="C27" s="107" t="s">
        <v>160</v>
      </c>
      <c r="D27" s="107"/>
      <c r="E27" s="107"/>
      <c r="F27" s="107"/>
      <c r="G27" s="107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30"/>
    </row>
    <row r="28" spans="1:26" x14ac:dyDescent="0.25">
      <c r="A28" s="107"/>
      <c r="B28" s="107"/>
      <c r="C28" s="107"/>
      <c r="D28" s="107" t="s">
        <v>160</v>
      </c>
      <c r="E28" s="107"/>
      <c r="F28" s="107"/>
      <c r="G28" s="107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30"/>
    </row>
    <row r="29" spans="1:26" x14ac:dyDescent="0.25">
      <c r="A29" s="107"/>
      <c r="B29" s="107"/>
      <c r="C29" s="107"/>
      <c r="D29" s="107"/>
      <c r="E29" s="107" t="s">
        <v>111</v>
      </c>
      <c r="F29" s="107"/>
      <c r="G29" s="107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30"/>
    </row>
    <row r="30" spans="1:26" x14ac:dyDescent="0.25">
      <c r="A30" s="107"/>
      <c r="B30" s="107"/>
      <c r="C30" s="107"/>
      <c r="D30" s="107"/>
      <c r="E30" s="107"/>
      <c r="F30" s="132" t="s">
        <v>112</v>
      </c>
      <c r="G30" s="107"/>
      <c r="H30" s="133">
        <f>Conservation!M4</f>
        <v>1300</v>
      </c>
      <c r="I30" s="133">
        <f>Conservation!N4</f>
        <v>1650</v>
      </c>
      <c r="J30" s="133">
        <f>Conservation!O4</f>
        <v>1750</v>
      </c>
      <c r="K30" s="133">
        <f>Conservation!P4</f>
        <v>2310</v>
      </c>
      <c r="L30" s="133">
        <f>Conservation!Q4</f>
        <v>1860</v>
      </c>
      <c r="M30" s="133">
        <f>Conservation!C16</f>
        <v>0</v>
      </c>
      <c r="N30" s="133">
        <f>Conservation!D16</f>
        <v>0</v>
      </c>
      <c r="O30" s="133">
        <f>Conservation!E16</f>
        <v>0</v>
      </c>
      <c r="P30" s="133">
        <f>Conservation!F16</f>
        <v>400</v>
      </c>
      <c r="Q30" s="133">
        <f>Conservation!G16</f>
        <v>0</v>
      </c>
      <c r="R30" s="133">
        <f>Conservation!H16</f>
        <v>500</v>
      </c>
      <c r="S30" s="133">
        <f>Conservation!I16</f>
        <v>0</v>
      </c>
      <c r="T30" s="133">
        <f>Conservation!J16</f>
        <v>400</v>
      </c>
      <c r="U30" s="133">
        <f>Conservation!K16</f>
        <v>0</v>
      </c>
      <c r="V30" s="133">
        <f>Conservation!L16</f>
        <v>0</v>
      </c>
      <c r="W30" s="133">
        <f>Conservation!M16</f>
        <v>0</v>
      </c>
      <c r="X30" s="133">
        <f>Conservation!N16</f>
        <v>0</v>
      </c>
      <c r="Y30" s="130">
        <f t="shared" si="0"/>
        <v>1300</v>
      </c>
      <c r="Z30" s="113">
        <f t="shared" ref="Z30:Z37" si="4">ROUND(Y30-H30,0)</f>
        <v>0</v>
      </c>
    </row>
    <row r="31" spans="1:26" x14ac:dyDescent="0.25">
      <c r="A31" s="107"/>
      <c r="B31" s="107"/>
      <c r="C31" s="107"/>
      <c r="D31" s="107"/>
      <c r="E31" s="107"/>
      <c r="F31" s="132" t="s">
        <v>113</v>
      </c>
      <c r="G31" s="107"/>
      <c r="H31" s="133">
        <f>Conservation!M5</f>
        <v>11800</v>
      </c>
      <c r="I31" s="133">
        <f>Conservation!N5</f>
        <v>76300</v>
      </c>
      <c r="J31" s="133">
        <f>Conservation!O5</f>
        <v>3200</v>
      </c>
      <c r="K31" s="133">
        <f>Conservation!P5</f>
        <v>1500</v>
      </c>
      <c r="L31" s="133">
        <f>Conservation!Q5</f>
        <v>2300</v>
      </c>
      <c r="M31" s="133">
        <f>Conservation!C17</f>
        <v>0</v>
      </c>
      <c r="N31" s="133">
        <f>Conservation!D17</f>
        <v>0</v>
      </c>
      <c r="O31" s="133">
        <f>Conservation!E17</f>
        <v>0</v>
      </c>
      <c r="P31" s="133">
        <f>Conservation!F17</f>
        <v>0</v>
      </c>
      <c r="Q31" s="133">
        <f>Conservation!G17</f>
        <v>0</v>
      </c>
      <c r="R31" s="133">
        <f>Conservation!H17</f>
        <v>11800</v>
      </c>
      <c r="S31" s="133">
        <f>Conservation!I17</f>
        <v>0</v>
      </c>
      <c r="T31" s="133">
        <f>Conservation!J17</f>
        <v>0</v>
      </c>
      <c r="U31" s="133">
        <f>Conservation!K17</f>
        <v>0</v>
      </c>
      <c r="V31" s="133">
        <f>Conservation!L17</f>
        <v>0</v>
      </c>
      <c r="W31" s="133">
        <f>Conservation!M17</f>
        <v>0</v>
      </c>
      <c r="X31" s="133">
        <f>Conservation!N17</f>
        <v>0</v>
      </c>
      <c r="Y31" s="130">
        <f t="shared" si="0"/>
        <v>11800</v>
      </c>
      <c r="Z31" s="113">
        <f t="shared" si="4"/>
        <v>0</v>
      </c>
    </row>
    <row r="32" spans="1:26" x14ac:dyDescent="0.25">
      <c r="A32" s="107"/>
      <c r="B32" s="107"/>
      <c r="C32" s="107"/>
      <c r="D32" s="107"/>
      <c r="E32" s="107"/>
      <c r="F32" s="132" t="s">
        <v>114</v>
      </c>
      <c r="G32" s="107"/>
      <c r="H32" s="133">
        <f>Conservation!M6</f>
        <v>2150</v>
      </c>
      <c r="I32" s="133">
        <f>Conservation!N6</f>
        <v>1600</v>
      </c>
      <c r="J32" s="133">
        <f>Conservation!O6</f>
        <v>1700</v>
      </c>
      <c r="K32" s="133">
        <f>Conservation!P6</f>
        <v>1800</v>
      </c>
      <c r="L32" s="133">
        <f>Conservation!Q6</f>
        <v>1900</v>
      </c>
      <c r="M32" s="133">
        <f>Conservation!C18</f>
        <v>0</v>
      </c>
      <c r="N32" s="133">
        <f>Conservation!D18</f>
        <v>0</v>
      </c>
      <c r="O32" s="133">
        <f>Conservation!E18</f>
        <v>0</v>
      </c>
      <c r="P32" s="133">
        <f>Conservation!F18</f>
        <v>0</v>
      </c>
      <c r="Q32" s="133">
        <f>Conservation!G18</f>
        <v>0</v>
      </c>
      <c r="R32" s="133">
        <f>Conservation!H18</f>
        <v>0</v>
      </c>
      <c r="S32" s="133">
        <f>Conservation!I18</f>
        <v>0</v>
      </c>
      <c r="T32" s="133">
        <f>Conservation!J18</f>
        <v>0</v>
      </c>
      <c r="U32" s="133">
        <f>Conservation!K18</f>
        <v>0</v>
      </c>
      <c r="V32" s="133">
        <f>Conservation!L18</f>
        <v>0</v>
      </c>
      <c r="W32" s="133">
        <f>Conservation!M18</f>
        <v>2150</v>
      </c>
      <c r="X32" s="133">
        <f>Conservation!N18</f>
        <v>0</v>
      </c>
      <c r="Y32" s="130">
        <f t="shared" si="0"/>
        <v>2150</v>
      </c>
      <c r="Z32" s="113">
        <f t="shared" si="4"/>
        <v>0</v>
      </c>
    </row>
    <row r="33" spans="1:26" x14ac:dyDescent="0.25">
      <c r="A33" s="107"/>
      <c r="B33" s="107"/>
      <c r="C33" s="107"/>
      <c r="D33" s="107"/>
      <c r="E33" s="107"/>
      <c r="F33" s="132" t="s">
        <v>115</v>
      </c>
      <c r="G33" s="107"/>
      <c r="H33" s="133">
        <f>Conservation!M7</f>
        <v>12000</v>
      </c>
      <c r="I33" s="133">
        <f>Conservation!N7</f>
        <v>15000</v>
      </c>
      <c r="J33" s="133">
        <f>Conservation!O7</f>
        <v>10000</v>
      </c>
      <c r="K33" s="133">
        <f>Conservation!P7</f>
        <v>86500</v>
      </c>
      <c r="L33" s="133">
        <f>Conservation!Q7</f>
        <v>23025</v>
      </c>
      <c r="M33" s="133">
        <f>Conservation!C19</f>
        <v>0</v>
      </c>
      <c r="N33" s="133">
        <f>Conservation!D19</f>
        <v>0</v>
      </c>
      <c r="O33" s="133">
        <f>Conservation!E19</f>
        <v>0</v>
      </c>
      <c r="P33" s="133">
        <f>Conservation!F19</f>
        <v>0</v>
      </c>
      <c r="Q33" s="133">
        <f>Conservation!G19</f>
        <v>12000</v>
      </c>
      <c r="R33" s="133">
        <f>Conservation!H19</f>
        <v>0</v>
      </c>
      <c r="S33" s="133">
        <f>Conservation!I19</f>
        <v>0</v>
      </c>
      <c r="T33" s="133">
        <f>Conservation!J19</f>
        <v>0</v>
      </c>
      <c r="U33" s="133">
        <f>Conservation!K19</f>
        <v>0</v>
      </c>
      <c r="V33" s="133">
        <f>Conservation!L19</f>
        <v>0</v>
      </c>
      <c r="W33" s="133">
        <f>Conservation!M19</f>
        <v>0</v>
      </c>
      <c r="X33" s="133">
        <f>Conservation!N19</f>
        <v>0</v>
      </c>
      <c r="Y33" s="130">
        <f t="shared" si="0"/>
        <v>12000</v>
      </c>
      <c r="Z33" s="113">
        <f t="shared" si="4"/>
        <v>0</v>
      </c>
    </row>
    <row r="34" spans="1:26" x14ac:dyDescent="0.25">
      <c r="A34" s="107"/>
      <c r="B34" s="107"/>
      <c r="C34" s="107"/>
      <c r="D34" s="107"/>
      <c r="E34" s="107"/>
      <c r="F34" s="132" t="s">
        <v>116</v>
      </c>
      <c r="G34" s="107"/>
      <c r="H34" s="133">
        <f>Conservation!M8</f>
        <v>0</v>
      </c>
      <c r="I34" s="133">
        <f>Conservation!N8</f>
        <v>0</v>
      </c>
      <c r="J34" s="133">
        <f>Conservation!O8</f>
        <v>0</v>
      </c>
      <c r="K34" s="133">
        <f>Conservation!P8</f>
        <v>0</v>
      </c>
      <c r="L34" s="133">
        <f>Conservation!Q8</f>
        <v>0</v>
      </c>
      <c r="M34" s="133">
        <f>Conservation!C20</f>
        <v>0</v>
      </c>
      <c r="N34" s="133">
        <f>Conservation!D20</f>
        <v>0</v>
      </c>
      <c r="O34" s="133">
        <f>Conservation!E20</f>
        <v>0</v>
      </c>
      <c r="P34" s="133">
        <f>Conservation!F20</f>
        <v>0</v>
      </c>
      <c r="Q34" s="133">
        <f>Conservation!G20</f>
        <v>0</v>
      </c>
      <c r="R34" s="133">
        <f>Conservation!H20</f>
        <v>0</v>
      </c>
      <c r="S34" s="133">
        <f>Conservation!I20</f>
        <v>0</v>
      </c>
      <c r="T34" s="133">
        <f>Conservation!J20</f>
        <v>0</v>
      </c>
      <c r="U34" s="133">
        <f>Conservation!K20</f>
        <v>0</v>
      </c>
      <c r="V34" s="133">
        <f>Conservation!L20</f>
        <v>0</v>
      </c>
      <c r="W34" s="133">
        <f>Conservation!M20</f>
        <v>0</v>
      </c>
      <c r="X34" s="133">
        <f>Conservation!N20</f>
        <v>0</v>
      </c>
      <c r="Y34" s="130">
        <f t="shared" si="0"/>
        <v>0</v>
      </c>
      <c r="Z34" s="113">
        <f t="shared" si="4"/>
        <v>0</v>
      </c>
    </row>
    <row r="35" spans="1:26" x14ac:dyDescent="0.25">
      <c r="A35" s="107"/>
      <c r="B35" s="107"/>
      <c r="C35" s="107"/>
      <c r="D35" s="107"/>
      <c r="E35" s="107"/>
      <c r="F35" s="132" t="s">
        <v>117</v>
      </c>
      <c r="G35" s="107"/>
      <c r="H35" s="133">
        <f>Conservation!M9</f>
        <v>0</v>
      </c>
      <c r="I35" s="133">
        <f>Conservation!N9</f>
        <v>0</v>
      </c>
      <c r="J35" s="133">
        <f>Conservation!O9</f>
        <v>0</v>
      </c>
      <c r="K35" s="133">
        <f>Conservation!P9</f>
        <v>0</v>
      </c>
      <c r="L35" s="133">
        <f>Conservation!Q9</f>
        <v>0</v>
      </c>
      <c r="M35" s="133">
        <f>Conservation!C21</f>
        <v>0</v>
      </c>
      <c r="N35" s="133">
        <f>Conservation!D21</f>
        <v>0</v>
      </c>
      <c r="O35" s="133">
        <f>Conservation!E21</f>
        <v>0</v>
      </c>
      <c r="P35" s="133">
        <f>Conservation!F21</f>
        <v>0</v>
      </c>
      <c r="Q35" s="133">
        <f>Conservation!G21</f>
        <v>0</v>
      </c>
      <c r="R35" s="133">
        <f>Conservation!H21</f>
        <v>0</v>
      </c>
      <c r="S35" s="133">
        <f>Conservation!I21</f>
        <v>0</v>
      </c>
      <c r="T35" s="133">
        <f>Conservation!J21</f>
        <v>0</v>
      </c>
      <c r="U35" s="133">
        <f>Conservation!K21</f>
        <v>0</v>
      </c>
      <c r="V35" s="133">
        <f>Conservation!L21</f>
        <v>0</v>
      </c>
      <c r="W35" s="133">
        <f>Conservation!M21</f>
        <v>0</v>
      </c>
      <c r="X35" s="133">
        <f>Conservation!N21</f>
        <v>0</v>
      </c>
      <c r="Y35" s="130">
        <f t="shared" si="0"/>
        <v>0</v>
      </c>
      <c r="Z35" s="113">
        <f t="shared" si="4"/>
        <v>0</v>
      </c>
    </row>
    <row r="36" spans="1:26" ht="15.75" thickBot="1" x14ac:dyDescent="0.3">
      <c r="A36" s="107"/>
      <c r="B36" s="107"/>
      <c r="C36" s="107"/>
      <c r="D36" s="107"/>
      <c r="E36" s="107"/>
      <c r="F36" s="132" t="s">
        <v>118</v>
      </c>
      <c r="G36" s="107"/>
      <c r="H36" s="134">
        <f>Conservation!M10</f>
        <v>1300</v>
      </c>
      <c r="I36" s="134">
        <f>Conservation!N10</f>
        <v>0</v>
      </c>
      <c r="J36" s="134">
        <f>Conservation!O10</f>
        <v>150</v>
      </c>
      <c r="K36" s="134">
        <f>Conservation!P10</f>
        <v>0</v>
      </c>
      <c r="L36" s="134">
        <f>Conservation!Q10</f>
        <v>0</v>
      </c>
      <c r="M36" s="134">
        <f>Conservation!C22</f>
        <v>100</v>
      </c>
      <c r="N36" s="134">
        <f>Conservation!D22</f>
        <v>100</v>
      </c>
      <c r="O36" s="134">
        <f>Conservation!E22</f>
        <v>100</v>
      </c>
      <c r="P36" s="134">
        <f>Conservation!F22</f>
        <v>100</v>
      </c>
      <c r="Q36" s="134">
        <f>Conservation!G22</f>
        <v>100</v>
      </c>
      <c r="R36" s="134">
        <f>Conservation!H22</f>
        <v>200</v>
      </c>
      <c r="S36" s="134">
        <f>Conservation!I22</f>
        <v>100</v>
      </c>
      <c r="T36" s="134">
        <f>Conservation!J22</f>
        <v>100</v>
      </c>
      <c r="U36" s="134">
        <f>Conservation!K22</f>
        <v>100</v>
      </c>
      <c r="V36" s="134">
        <f>Conservation!L22</f>
        <v>100</v>
      </c>
      <c r="W36" s="134">
        <f>Conservation!M22</f>
        <v>100</v>
      </c>
      <c r="X36" s="134">
        <f>Conservation!N22</f>
        <v>100</v>
      </c>
      <c r="Y36" s="135">
        <f t="shared" si="0"/>
        <v>1300</v>
      </c>
      <c r="Z36" s="113">
        <f t="shared" si="4"/>
        <v>0</v>
      </c>
    </row>
    <row r="37" spans="1:26" x14ac:dyDescent="0.25">
      <c r="A37" s="107"/>
      <c r="B37" s="107"/>
      <c r="C37" s="107"/>
      <c r="D37" s="107"/>
      <c r="E37" s="107" t="s">
        <v>119</v>
      </c>
      <c r="F37" s="107"/>
      <c r="G37" s="107"/>
      <c r="H37" s="118">
        <f>ROUND(SUM(H30:H36),5)</f>
        <v>28550</v>
      </c>
      <c r="I37" s="118">
        <f t="shared" ref="I37:X37" si="5">ROUND(SUM(I30:I36),5)</f>
        <v>94550</v>
      </c>
      <c r="J37" s="118">
        <f t="shared" si="5"/>
        <v>16800</v>
      </c>
      <c r="K37" s="118">
        <f t="shared" si="5"/>
        <v>92110</v>
      </c>
      <c r="L37" s="118">
        <f t="shared" si="5"/>
        <v>29085</v>
      </c>
      <c r="M37" s="118">
        <f t="shared" si="5"/>
        <v>100</v>
      </c>
      <c r="N37" s="118">
        <f t="shared" si="5"/>
        <v>100</v>
      </c>
      <c r="O37" s="118">
        <f t="shared" si="5"/>
        <v>100</v>
      </c>
      <c r="P37" s="118">
        <f t="shared" si="5"/>
        <v>500</v>
      </c>
      <c r="Q37" s="118">
        <f t="shared" si="5"/>
        <v>12100</v>
      </c>
      <c r="R37" s="118">
        <f t="shared" si="5"/>
        <v>12500</v>
      </c>
      <c r="S37" s="118">
        <f t="shared" si="5"/>
        <v>100</v>
      </c>
      <c r="T37" s="118">
        <f t="shared" si="5"/>
        <v>500</v>
      </c>
      <c r="U37" s="118">
        <f t="shared" si="5"/>
        <v>100</v>
      </c>
      <c r="V37" s="118">
        <f t="shared" si="5"/>
        <v>100</v>
      </c>
      <c r="W37" s="118">
        <f t="shared" si="5"/>
        <v>2250</v>
      </c>
      <c r="X37" s="118">
        <f t="shared" si="5"/>
        <v>100</v>
      </c>
      <c r="Y37" s="118">
        <f>ROUND(SUM(Y30:Y36),5)</f>
        <v>28550</v>
      </c>
      <c r="Z37" s="113">
        <f t="shared" si="4"/>
        <v>0</v>
      </c>
    </row>
    <row r="38" spans="1:26" ht="14.25" hidden="1" customHeight="1" x14ac:dyDescent="0.25">
      <c r="A38" s="107"/>
      <c r="B38" s="107"/>
      <c r="C38" s="107"/>
      <c r="D38" s="107"/>
      <c r="E38" s="107" t="s">
        <v>0</v>
      </c>
      <c r="F38" s="107"/>
      <c r="G38" s="107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30"/>
    </row>
    <row r="39" spans="1:26" hidden="1" x14ac:dyDescent="0.25">
      <c r="A39" s="107"/>
      <c r="B39" s="107"/>
      <c r="C39" s="107"/>
      <c r="D39" s="107"/>
      <c r="E39" s="107"/>
      <c r="F39" s="132" t="s">
        <v>1</v>
      </c>
      <c r="G39" s="107"/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18">
        <v>0</v>
      </c>
      <c r="Q39" s="118">
        <v>0</v>
      </c>
      <c r="R39" s="118">
        <v>0</v>
      </c>
      <c r="S39" s="118">
        <v>0</v>
      </c>
      <c r="T39" s="118">
        <v>0</v>
      </c>
      <c r="U39" s="118">
        <v>0</v>
      </c>
      <c r="V39" s="118">
        <v>0</v>
      </c>
      <c r="W39" s="118">
        <v>0</v>
      </c>
      <c r="X39" s="118">
        <v>0</v>
      </c>
      <c r="Y39" s="130">
        <f t="shared" si="0"/>
        <v>0</v>
      </c>
      <c r="Z39" s="113">
        <f t="shared" ref="Z39:Z61" si="6">ROUND(Y39-H39,0)</f>
        <v>0</v>
      </c>
    </row>
    <row r="40" spans="1:26" hidden="1" x14ac:dyDescent="0.25">
      <c r="A40" s="107"/>
      <c r="B40" s="107"/>
      <c r="C40" s="107"/>
      <c r="D40" s="107"/>
      <c r="E40" s="107"/>
      <c r="F40" s="132" t="s">
        <v>2</v>
      </c>
      <c r="G40" s="107"/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18">
        <v>0</v>
      </c>
      <c r="Q40" s="118">
        <v>0</v>
      </c>
      <c r="R40" s="118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18">
        <v>0</v>
      </c>
      <c r="Y40" s="130">
        <f t="shared" si="0"/>
        <v>0</v>
      </c>
      <c r="Z40" s="113">
        <f t="shared" si="6"/>
        <v>0</v>
      </c>
    </row>
    <row r="41" spans="1:26" hidden="1" x14ac:dyDescent="0.25">
      <c r="A41" s="107"/>
      <c r="B41" s="107"/>
      <c r="C41" s="107"/>
      <c r="D41" s="107"/>
      <c r="E41" s="107"/>
      <c r="F41" s="132" t="s">
        <v>3</v>
      </c>
      <c r="G41" s="107"/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30">
        <f t="shared" si="0"/>
        <v>0</v>
      </c>
      <c r="Z41" s="113">
        <f t="shared" si="6"/>
        <v>0</v>
      </c>
    </row>
    <row r="42" spans="1:26" hidden="1" x14ac:dyDescent="0.25">
      <c r="A42" s="107"/>
      <c r="B42" s="107"/>
      <c r="C42" s="107"/>
      <c r="D42" s="107"/>
      <c r="E42" s="107"/>
      <c r="F42" s="132" t="s">
        <v>4</v>
      </c>
      <c r="G42" s="107"/>
      <c r="H42" s="118">
        <v>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8">
        <v>0</v>
      </c>
      <c r="Q42" s="118">
        <v>0</v>
      </c>
      <c r="R42" s="118">
        <v>0</v>
      </c>
      <c r="S42" s="118">
        <v>0</v>
      </c>
      <c r="T42" s="118">
        <v>0</v>
      </c>
      <c r="U42" s="118">
        <v>0</v>
      </c>
      <c r="V42" s="118">
        <v>0</v>
      </c>
      <c r="W42" s="118">
        <v>0</v>
      </c>
      <c r="X42" s="118">
        <v>0</v>
      </c>
      <c r="Y42" s="130">
        <f t="shared" si="0"/>
        <v>0</v>
      </c>
      <c r="Z42" s="113">
        <f t="shared" si="6"/>
        <v>0</v>
      </c>
    </row>
    <row r="43" spans="1:26" hidden="1" x14ac:dyDescent="0.25">
      <c r="A43" s="107"/>
      <c r="B43" s="107"/>
      <c r="C43" s="107"/>
      <c r="D43" s="107"/>
      <c r="E43" s="107"/>
      <c r="F43" s="132" t="s">
        <v>5</v>
      </c>
      <c r="G43" s="107"/>
      <c r="H43" s="118">
        <v>0</v>
      </c>
      <c r="I43" s="118">
        <v>0</v>
      </c>
      <c r="J43" s="118">
        <v>0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18">
        <v>0</v>
      </c>
      <c r="Q43" s="118">
        <v>0</v>
      </c>
      <c r="R43" s="118">
        <v>0</v>
      </c>
      <c r="S43" s="118">
        <v>0</v>
      </c>
      <c r="T43" s="118">
        <v>0</v>
      </c>
      <c r="U43" s="118">
        <v>0</v>
      </c>
      <c r="V43" s="118">
        <v>0</v>
      </c>
      <c r="W43" s="118">
        <v>0</v>
      </c>
      <c r="X43" s="118">
        <v>0</v>
      </c>
      <c r="Y43" s="130">
        <f t="shared" si="0"/>
        <v>0</v>
      </c>
      <c r="Z43" s="113">
        <f t="shared" si="6"/>
        <v>0</v>
      </c>
    </row>
    <row r="44" spans="1:26" hidden="1" x14ac:dyDescent="0.25">
      <c r="A44" s="107"/>
      <c r="B44" s="107"/>
      <c r="C44" s="107"/>
      <c r="D44" s="107"/>
      <c r="E44" s="107"/>
      <c r="F44" s="132" t="s">
        <v>6</v>
      </c>
      <c r="G44" s="107"/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18">
        <v>0</v>
      </c>
      <c r="Y44" s="130">
        <f t="shared" si="0"/>
        <v>0</v>
      </c>
      <c r="Z44" s="113">
        <f t="shared" si="6"/>
        <v>0</v>
      </c>
    </row>
    <row r="45" spans="1:26" hidden="1" x14ac:dyDescent="0.25">
      <c r="A45" s="107"/>
      <c r="B45" s="107"/>
      <c r="C45" s="107"/>
      <c r="D45" s="107"/>
      <c r="E45" s="107"/>
      <c r="F45" s="132" t="s">
        <v>7</v>
      </c>
      <c r="G45" s="107"/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8">
        <v>0</v>
      </c>
      <c r="Q45" s="118">
        <v>0</v>
      </c>
      <c r="R45" s="118">
        <v>0</v>
      </c>
      <c r="S45" s="118">
        <v>0</v>
      </c>
      <c r="T45" s="118">
        <v>0</v>
      </c>
      <c r="U45" s="118">
        <v>0</v>
      </c>
      <c r="V45" s="118">
        <v>0</v>
      </c>
      <c r="W45" s="118">
        <v>0</v>
      </c>
      <c r="X45" s="118">
        <v>0</v>
      </c>
      <c r="Y45" s="130">
        <f t="shared" si="0"/>
        <v>0</v>
      </c>
      <c r="Z45" s="113">
        <f t="shared" si="6"/>
        <v>0</v>
      </c>
    </row>
    <row r="46" spans="1:26" hidden="1" x14ac:dyDescent="0.25">
      <c r="A46" s="107"/>
      <c r="B46" s="107"/>
      <c r="C46" s="107"/>
      <c r="D46" s="107"/>
      <c r="E46" s="107"/>
      <c r="F46" s="132" t="s">
        <v>8</v>
      </c>
      <c r="G46" s="107"/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118">
        <v>0</v>
      </c>
      <c r="U46" s="118">
        <v>0</v>
      </c>
      <c r="V46" s="118">
        <v>0</v>
      </c>
      <c r="W46" s="118">
        <v>0</v>
      </c>
      <c r="X46" s="118">
        <v>0</v>
      </c>
      <c r="Y46" s="130">
        <f t="shared" si="0"/>
        <v>0</v>
      </c>
      <c r="Z46" s="113">
        <f t="shared" si="6"/>
        <v>0</v>
      </c>
    </row>
    <row r="47" spans="1:26" hidden="1" x14ac:dyDescent="0.25">
      <c r="A47" s="107"/>
      <c r="B47" s="107"/>
      <c r="C47" s="107"/>
      <c r="D47" s="107"/>
      <c r="E47" s="107"/>
      <c r="F47" s="132" t="s">
        <v>9</v>
      </c>
      <c r="G47" s="107"/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30">
        <f t="shared" si="0"/>
        <v>0</v>
      </c>
      <c r="Z47" s="113">
        <f t="shared" si="6"/>
        <v>0</v>
      </c>
    </row>
    <row r="48" spans="1:26" hidden="1" x14ac:dyDescent="0.25">
      <c r="A48" s="107"/>
      <c r="B48" s="107"/>
      <c r="C48" s="107"/>
      <c r="D48" s="107"/>
      <c r="E48" s="107"/>
      <c r="F48" s="132" t="s">
        <v>10</v>
      </c>
      <c r="G48" s="107"/>
      <c r="H48" s="118">
        <v>0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18">
        <v>0</v>
      </c>
      <c r="Q48" s="118">
        <v>0</v>
      </c>
      <c r="R48" s="118">
        <v>0</v>
      </c>
      <c r="S48" s="118">
        <v>0</v>
      </c>
      <c r="T48" s="118">
        <v>0</v>
      </c>
      <c r="U48" s="118">
        <v>0</v>
      </c>
      <c r="V48" s="118">
        <v>0</v>
      </c>
      <c r="W48" s="118">
        <v>0</v>
      </c>
      <c r="X48" s="118">
        <v>0</v>
      </c>
      <c r="Y48" s="130">
        <f t="shared" si="0"/>
        <v>0</v>
      </c>
      <c r="Z48" s="113">
        <f t="shared" si="6"/>
        <v>0</v>
      </c>
    </row>
    <row r="49" spans="1:26" hidden="1" x14ac:dyDescent="0.25">
      <c r="A49" s="107"/>
      <c r="B49" s="107"/>
      <c r="C49" s="107"/>
      <c r="D49" s="107"/>
      <c r="E49" s="107"/>
      <c r="F49" s="132" t="s">
        <v>11</v>
      </c>
      <c r="G49" s="107"/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118">
        <v>0</v>
      </c>
      <c r="Q49" s="118">
        <v>0</v>
      </c>
      <c r="R49" s="118">
        <v>0</v>
      </c>
      <c r="S49" s="118">
        <v>0</v>
      </c>
      <c r="T49" s="118">
        <v>0</v>
      </c>
      <c r="U49" s="118">
        <v>0</v>
      </c>
      <c r="V49" s="118">
        <v>0</v>
      </c>
      <c r="W49" s="118">
        <v>0</v>
      </c>
      <c r="X49" s="118">
        <v>0</v>
      </c>
      <c r="Y49" s="130">
        <f t="shared" si="0"/>
        <v>0</v>
      </c>
      <c r="Z49" s="113">
        <f t="shared" si="6"/>
        <v>0</v>
      </c>
    </row>
    <row r="50" spans="1:26" hidden="1" x14ac:dyDescent="0.25">
      <c r="A50" s="107"/>
      <c r="B50" s="107"/>
      <c r="C50" s="107"/>
      <c r="D50" s="107"/>
      <c r="E50" s="107"/>
      <c r="F50" s="132" t="s">
        <v>12</v>
      </c>
      <c r="G50" s="107"/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18">
        <v>0</v>
      </c>
      <c r="Q50" s="118">
        <v>0</v>
      </c>
      <c r="R50" s="118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18">
        <v>0</v>
      </c>
      <c r="Y50" s="130">
        <f t="shared" si="0"/>
        <v>0</v>
      </c>
      <c r="Z50" s="113">
        <f t="shared" si="6"/>
        <v>0</v>
      </c>
    </row>
    <row r="51" spans="1:26" hidden="1" x14ac:dyDescent="0.25">
      <c r="A51" s="107"/>
      <c r="B51" s="107"/>
      <c r="C51" s="107"/>
      <c r="D51" s="107"/>
      <c r="E51" s="107"/>
      <c r="F51" s="132" t="s">
        <v>13</v>
      </c>
      <c r="G51" s="107"/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30">
        <f t="shared" si="0"/>
        <v>0</v>
      </c>
      <c r="Z51" s="113">
        <f t="shared" si="6"/>
        <v>0</v>
      </c>
    </row>
    <row r="52" spans="1:26" hidden="1" x14ac:dyDescent="0.25">
      <c r="A52" s="107"/>
      <c r="B52" s="107"/>
      <c r="C52" s="107"/>
      <c r="D52" s="107"/>
      <c r="E52" s="107"/>
      <c r="F52" s="132" t="s">
        <v>14</v>
      </c>
      <c r="G52" s="107"/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18">
        <v>0</v>
      </c>
      <c r="Q52" s="118">
        <v>0</v>
      </c>
      <c r="R52" s="118">
        <v>0</v>
      </c>
      <c r="S52" s="118">
        <v>0</v>
      </c>
      <c r="T52" s="118">
        <v>0</v>
      </c>
      <c r="U52" s="118">
        <v>0</v>
      </c>
      <c r="V52" s="118">
        <v>0</v>
      </c>
      <c r="W52" s="118">
        <v>0</v>
      </c>
      <c r="X52" s="118">
        <v>0</v>
      </c>
      <c r="Y52" s="130">
        <f t="shared" si="0"/>
        <v>0</v>
      </c>
      <c r="Z52" s="113">
        <f t="shared" si="6"/>
        <v>0</v>
      </c>
    </row>
    <row r="53" spans="1:26" hidden="1" x14ac:dyDescent="0.25">
      <c r="A53" s="107"/>
      <c r="B53" s="107"/>
      <c r="C53" s="107"/>
      <c r="D53" s="107"/>
      <c r="E53" s="107"/>
      <c r="F53" s="132" t="s">
        <v>15</v>
      </c>
      <c r="G53" s="107"/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18">
        <v>0</v>
      </c>
      <c r="Q53" s="118">
        <v>0</v>
      </c>
      <c r="R53" s="118">
        <v>0</v>
      </c>
      <c r="S53" s="118">
        <v>0</v>
      </c>
      <c r="T53" s="118">
        <v>0</v>
      </c>
      <c r="U53" s="118">
        <v>0</v>
      </c>
      <c r="V53" s="118">
        <v>0</v>
      </c>
      <c r="W53" s="118">
        <v>0</v>
      </c>
      <c r="X53" s="118">
        <v>0</v>
      </c>
      <c r="Y53" s="130">
        <f t="shared" si="0"/>
        <v>0</v>
      </c>
      <c r="Z53" s="113">
        <f t="shared" si="6"/>
        <v>0</v>
      </c>
    </row>
    <row r="54" spans="1:26" hidden="1" x14ac:dyDescent="0.25">
      <c r="A54" s="107"/>
      <c r="B54" s="107"/>
      <c r="C54" s="107"/>
      <c r="D54" s="107"/>
      <c r="E54" s="107"/>
      <c r="F54" s="132" t="s">
        <v>16</v>
      </c>
      <c r="G54" s="107"/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8">
        <v>0</v>
      </c>
      <c r="Q54" s="118">
        <v>0</v>
      </c>
      <c r="R54" s="118">
        <v>0</v>
      </c>
      <c r="S54" s="118">
        <v>0</v>
      </c>
      <c r="T54" s="118">
        <v>0</v>
      </c>
      <c r="U54" s="118">
        <v>0</v>
      </c>
      <c r="V54" s="118">
        <v>0</v>
      </c>
      <c r="W54" s="118">
        <v>0</v>
      </c>
      <c r="X54" s="118">
        <v>0</v>
      </c>
      <c r="Y54" s="130">
        <f t="shared" si="0"/>
        <v>0</v>
      </c>
      <c r="Z54" s="113">
        <f t="shared" si="6"/>
        <v>0</v>
      </c>
    </row>
    <row r="55" spans="1:26" hidden="1" x14ac:dyDescent="0.25">
      <c r="A55" s="107"/>
      <c r="B55" s="107"/>
      <c r="C55" s="107"/>
      <c r="D55" s="107"/>
      <c r="E55" s="107"/>
      <c r="F55" s="132" t="s">
        <v>17</v>
      </c>
      <c r="G55" s="107"/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18">
        <v>0</v>
      </c>
      <c r="Q55" s="118">
        <v>0</v>
      </c>
      <c r="R55" s="118">
        <v>0</v>
      </c>
      <c r="S55" s="118">
        <v>0</v>
      </c>
      <c r="T55" s="118">
        <v>0</v>
      </c>
      <c r="U55" s="118">
        <v>0</v>
      </c>
      <c r="V55" s="118">
        <v>0</v>
      </c>
      <c r="W55" s="118">
        <v>0</v>
      </c>
      <c r="X55" s="118">
        <v>0</v>
      </c>
      <c r="Y55" s="130">
        <f t="shared" si="0"/>
        <v>0</v>
      </c>
      <c r="Z55" s="113">
        <f t="shared" si="6"/>
        <v>0</v>
      </c>
    </row>
    <row r="56" spans="1:26" hidden="1" x14ac:dyDescent="0.25">
      <c r="A56" s="107"/>
      <c r="B56" s="107"/>
      <c r="C56" s="107"/>
      <c r="D56" s="107"/>
      <c r="E56" s="107"/>
      <c r="F56" s="132" t="s">
        <v>18</v>
      </c>
      <c r="G56" s="107"/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0</v>
      </c>
      <c r="R56" s="118">
        <v>0</v>
      </c>
      <c r="S56" s="118">
        <v>0</v>
      </c>
      <c r="T56" s="118">
        <v>0</v>
      </c>
      <c r="U56" s="118">
        <v>0</v>
      </c>
      <c r="V56" s="118">
        <v>0</v>
      </c>
      <c r="W56" s="118">
        <v>0</v>
      </c>
      <c r="X56" s="118">
        <v>0</v>
      </c>
      <c r="Y56" s="130">
        <f t="shared" si="0"/>
        <v>0</v>
      </c>
      <c r="Z56" s="113">
        <f t="shared" si="6"/>
        <v>0</v>
      </c>
    </row>
    <row r="57" spans="1:26" hidden="1" x14ac:dyDescent="0.25">
      <c r="A57" s="107"/>
      <c r="B57" s="107"/>
      <c r="C57" s="107"/>
      <c r="D57" s="107"/>
      <c r="E57" s="107"/>
      <c r="F57" s="132" t="s">
        <v>19</v>
      </c>
      <c r="G57" s="107"/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18">
        <v>0</v>
      </c>
      <c r="Q57" s="118">
        <v>0</v>
      </c>
      <c r="R57" s="118">
        <v>0</v>
      </c>
      <c r="S57" s="118">
        <v>0</v>
      </c>
      <c r="T57" s="118">
        <v>0</v>
      </c>
      <c r="U57" s="118">
        <v>0</v>
      </c>
      <c r="V57" s="118">
        <v>0</v>
      </c>
      <c r="W57" s="118">
        <v>0</v>
      </c>
      <c r="X57" s="118">
        <v>0</v>
      </c>
      <c r="Y57" s="130">
        <f t="shared" si="0"/>
        <v>0</v>
      </c>
      <c r="Z57" s="113">
        <f t="shared" si="6"/>
        <v>0</v>
      </c>
    </row>
    <row r="58" spans="1:26" hidden="1" x14ac:dyDescent="0.25">
      <c r="A58" s="107"/>
      <c r="B58" s="107"/>
      <c r="C58" s="107"/>
      <c r="D58" s="107"/>
      <c r="E58" s="107"/>
      <c r="F58" s="132" t="s">
        <v>20</v>
      </c>
      <c r="G58" s="107"/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18">
        <v>0</v>
      </c>
      <c r="S58" s="118">
        <v>0</v>
      </c>
      <c r="T58" s="118">
        <v>0</v>
      </c>
      <c r="U58" s="118">
        <v>0</v>
      </c>
      <c r="V58" s="118">
        <v>0</v>
      </c>
      <c r="W58" s="118">
        <v>0</v>
      </c>
      <c r="X58" s="118">
        <v>0</v>
      </c>
      <c r="Y58" s="130">
        <f t="shared" si="0"/>
        <v>0</v>
      </c>
      <c r="Z58" s="113">
        <f t="shared" si="6"/>
        <v>0</v>
      </c>
    </row>
    <row r="59" spans="1:26" hidden="1" x14ac:dyDescent="0.25">
      <c r="A59" s="107"/>
      <c r="B59" s="107"/>
      <c r="C59" s="107"/>
      <c r="D59" s="107"/>
      <c r="E59" s="107"/>
      <c r="F59" s="132" t="s">
        <v>21</v>
      </c>
      <c r="G59" s="107"/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  <c r="N59" s="118">
        <v>0</v>
      </c>
      <c r="O59" s="118">
        <v>0</v>
      </c>
      <c r="P59" s="118">
        <v>0</v>
      </c>
      <c r="Q59" s="118">
        <v>0</v>
      </c>
      <c r="R59" s="118">
        <v>0</v>
      </c>
      <c r="S59" s="118">
        <v>0</v>
      </c>
      <c r="T59" s="118">
        <v>0</v>
      </c>
      <c r="U59" s="118">
        <v>0</v>
      </c>
      <c r="V59" s="118">
        <v>0</v>
      </c>
      <c r="W59" s="118">
        <v>0</v>
      </c>
      <c r="X59" s="118">
        <v>0</v>
      </c>
      <c r="Y59" s="130">
        <f t="shared" si="0"/>
        <v>0</v>
      </c>
      <c r="Z59" s="113">
        <f t="shared" si="6"/>
        <v>0</v>
      </c>
    </row>
    <row r="60" spans="1:26" ht="15.75" hidden="1" thickBot="1" x14ac:dyDescent="0.3">
      <c r="A60" s="107"/>
      <c r="B60" s="107"/>
      <c r="C60" s="107"/>
      <c r="D60" s="107"/>
      <c r="E60" s="107"/>
      <c r="F60" s="132" t="s">
        <v>22</v>
      </c>
      <c r="G60" s="107"/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  <c r="N60" s="134">
        <v>0</v>
      </c>
      <c r="O60" s="134">
        <v>0</v>
      </c>
      <c r="P60" s="134">
        <v>0</v>
      </c>
      <c r="Q60" s="134">
        <v>0</v>
      </c>
      <c r="R60" s="134">
        <v>0</v>
      </c>
      <c r="S60" s="134">
        <v>0</v>
      </c>
      <c r="T60" s="134">
        <v>0</v>
      </c>
      <c r="U60" s="134">
        <v>0</v>
      </c>
      <c r="V60" s="134">
        <v>0</v>
      </c>
      <c r="W60" s="134">
        <v>0</v>
      </c>
      <c r="X60" s="134">
        <v>0</v>
      </c>
      <c r="Y60" s="135">
        <f t="shared" si="0"/>
        <v>0</v>
      </c>
      <c r="Z60" s="113">
        <f t="shared" si="6"/>
        <v>0</v>
      </c>
    </row>
    <row r="61" spans="1:26" hidden="1" x14ac:dyDescent="0.25">
      <c r="A61" s="107"/>
      <c r="B61" s="107"/>
      <c r="C61" s="107"/>
      <c r="D61" s="107"/>
      <c r="E61" s="107" t="s">
        <v>23</v>
      </c>
      <c r="F61" s="107"/>
      <c r="G61" s="107"/>
      <c r="H61" s="118">
        <f>ROUND(SUM(H39:H60),5)</f>
        <v>0</v>
      </c>
      <c r="I61" s="118">
        <f t="shared" ref="I61:Y61" si="7">ROUND(SUM(I39:I60),5)</f>
        <v>0</v>
      </c>
      <c r="J61" s="118">
        <f t="shared" si="7"/>
        <v>0</v>
      </c>
      <c r="K61" s="118">
        <f t="shared" si="7"/>
        <v>0</v>
      </c>
      <c r="L61" s="118">
        <f t="shared" si="7"/>
        <v>0</v>
      </c>
      <c r="M61" s="118">
        <f t="shared" si="7"/>
        <v>0</v>
      </c>
      <c r="N61" s="118">
        <f t="shared" si="7"/>
        <v>0</v>
      </c>
      <c r="O61" s="118">
        <f t="shared" si="7"/>
        <v>0</v>
      </c>
      <c r="P61" s="118">
        <f t="shared" si="7"/>
        <v>0</v>
      </c>
      <c r="Q61" s="118">
        <f t="shared" si="7"/>
        <v>0</v>
      </c>
      <c r="R61" s="118">
        <f t="shared" si="7"/>
        <v>0</v>
      </c>
      <c r="S61" s="118">
        <f t="shared" si="7"/>
        <v>0</v>
      </c>
      <c r="T61" s="118">
        <f t="shared" si="7"/>
        <v>0</v>
      </c>
      <c r="U61" s="118">
        <f t="shared" si="7"/>
        <v>0</v>
      </c>
      <c r="V61" s="118">
        <f t="shared" si="7"/>
        <v>0</v>
      </c>
      <c r="W61" s="118">
        <f t="shared" si="7"/>
        <v>0</v>
      </c>
      <c r="X61" s="118">
        <f t="shared" si="7"/>
        <v>0</v>
      </c>
      <c r="Y61" s="118">
        <f t="shared" si="7"/>
        <v>0</v>
      </c>
      <c r="Z61" s="113">
        <f t="shared" si="6"/>
        <v>0</v>
      </c>
    </row>
    <row r="62" spans="1:26" hidden="1" x14ac:dyDescent="0.25">
      <c r="A62" s="107"/>
      <c r="B62" s="107"/>
      <c r="C62" s="107"/>
      <c r="D62" s="107"/>
      <c r="E62" s="107" t="s">
        <v>161</v>
      </c>
      <c r="F62" s="107"/>
      <c r="G62" s="107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30"/>
    </row>
    <row r="63" spans="1:26" hidden="1" x14ac:dyDescent="0.25">
      <c r="A63" s="107"/>
      <c r="B63" s="107"/>
      <c r="C63" s="107"/>
      <c r="D63" s="107"/>
      <c r="E63" s="107"/>
      <c r="F63" s="107" t="s">
        <v>40</v>
      </c>
      <c r="G63" s="107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30"/>
    </row>
    <row r="64" spans="1:26" hidden="1" x14ac:dyDescent="0.25">
      <c r="A64" s="107"/>
      <c r="B64" s="107"/>
      <c r="C64" s="107"/>
      <c r="D64" s="107"/>
      <c r="E64" s="107"/>
      <c r="F64" s="132" t="s">
        <v>41</v>
      </c>
      <c r="H64" s="118">
        <v>0</v>
      </c>
      <c r="I64" s="118">
        <v>0</v>
      </c>
      <c r="J64" s="118">
        <v>0</v>
      </c>
      <c r="K64" s="118">
        <v>0</v>
      </c>
      <c r="L64" s="118">
        <v>0</v>
      </c>
      <c r="M64" s="133">
        <v>0</v>
      </c>
      <c r="N64" s="133">
        <v>0</v>
      </c>
      <c r="O64" s="133">
        <v>0</v>
      </c>
      <c r="P64" s="133">
        <v>0</v>
      </c>
      <c r="Q64" s="133">
        <v>0</v>
      </c>
      <c r="R64" s="133">
        <v>0</v>
      </c>
      <c r="S64" s="133">
        <v>0</v>
      </c>
      <c r="T64" s="133">
        <v>0</v>
      </c>
      <c r="U64" s="133">
        <v>0</v>
      </c>
      <c r="V64" s="133">
        <v>0</v>
      </c>
      <c r="W64" s="133">
        <v>0</v>
      </c>
      <c r="X64" s="133">
        <v>0</v>
      </c>
      <c r="Y64" s="130">
        <f t="shared" si="0"/>
        <v>0</v>
      </c>
      <c r="Z64" s="113">
        <f t="shared" ref="Z64:Z74" si="8">ROUND(Y64-H64,0)</f>
        <v>0</v>
      </c>
    </row>
    <row r="65" spans="1:26" hidden="1" x14ac:dyDescent="0.25">
      <c r="A65" s="107"/>
      <c r="B65" s="107"/>
      <c r="C65" s="107"/>
      <c r="D65" s="107"/>
      <c r="E65" s="107"/>
      <c r="F65" s="132" t="s">
        <v>42</v>
      </c>
      <c r="H65" s="118">
        <v>0</v>
      </c>
      <c r="I65" s="118">
        <v>0</v>
      </c>
      <c r="J65" s="118">
        <v>0</v>
      </c>
      <c r="K65" s="118">
        <v>0</v>
      </c>
      <c r="L65" s="118">
        <v>0</v>
      </c>
      <c r="M65" s="133">
        <v>0</v>
      </c>
      <c r="N65" s="133">
        <v>0</v>
      </c>
      <c r="O65" s="133">
        <v>0</v>
      </c>
      <c r="P65" s="133">
        <v>0</v>
      </c>
      <c r="Q65" s="133">
        <v>0</v>
      </c>
      <c r="R65" s="133">
        <v>0</v>
      </c>
      <c r="S65" s="133">
        <v>0</v>
      </c>
      <c r="T65" s="133">
        <v>0</v>
      </c>
      <c r="U65" s="133">
        <v>0</v>
      </c>
      <c r="V65" s="133">
        <v>0</v>
      </c>
      <c r="W65" s="133">
        <v>0</v>
      </c>
      <c r="X65" s="133">
        <v>0</v>
      </c>
      <c r="Y65" s="130">
        <f t="shared" si="0"/>
        <v>0</v>
      </c>
      <c r="Z65" s="113">
        <f t="shared" si="8"/>
        <v>0</v>
      </c>
    </row>
    <row r="66" spans="1:26" hidden="1" x14ac:dyDescent="0.25">
      <c r="A66" s="107"/>
      <c r="B66" s="107"/>
      <c r="C66" s="107"/>
      <c r="D66" s="107"/>
      <c r="E66" s="107"/>
      <c r="F66" s="132" t="s">
        <v>43</v>
      </c>
      <c r="H66" s="118">
        <v>0</v>
      </c>
      <c r="I66" s="118">
        <v>0</v>
      </c>
      <c r="J66" s="118">
        <v>0</v>
      </c>
      <c r="K66" s="118">
        <v>0</v>
      </c>
      <c r="L66" s="118">
        <v>0</v>
      </c>
      <c r="M66" s="133">
        <v>0</v>
      </c>
      <c r="N66" s="133">
        <v>0</v>
      </c>
      <c r="O66" s="133">
        <v>0</v>
      </c>
      <c r="P66" s="133">
        <v>0</v>
      </c>
      <c r="Q66" s="133">
        <v>0</v>
      </c>
      <c r="R66" s="133">
        <v>0</v>
      </c>
      <c r="S66" s="133">
        <v>0</v>
      </c>
      <c r="T66" s="133">
        <v>0</v>
      </c>
      <c r="U66" s="133">
        <v>0</v>
      </c>
      <c r="V66" s="133">
        <v>0</v>
      </c>
      <c r="W66" s="133">
        <v>0</v>
      </c>
      <c r="X66" s="133">
        <v>0</v>
      </c>
      <c r="Y66" s="130">
        <f t="shared" si="0"/>
        <v>0</v>
      </c>
      <c r="Z66" s="113">
        <f t="shared" si="8"/>
        <v>0</v>
      </c>
    </row>
    <row r="67" spans="1:26" hidden="1" x14ac:dyDescent="0.25">
      <c r="A67" s="107"/>
      <c r="B67" s="107"/>
      <c r="C67" s="107"/>
      <c r="D67" s="107"/>
      <c r="E67" s="107"/>
      <c r="F67" s="132" t="s">
        <v>44</v>
      </c>
      <c r="H67" s="118">
        <v>0</v>
      </c>
      <c r="I67" s="118">
        <v>0</v>
      </c>
      <c r="J67" s="118">
        <v>0</v>
      </c>
      <c r="K67" s="118">
        <v>0</v>
      </c>
      <c r="L67" s="118">
        <v>0</v>
      </c>
      <c r="M67" s="133">
        <v>0</v>
      </c>
      <c r="N67" s="133">
        <v>0</v>
      </c>
      <c r="O67" s="133">
        <v>0</v>
      </c>
      <c r="P67" s="133">
        <v>0</v>
      </c>
      <c r="Q67" s="133">
        <v>0</v>
      </c>
      <c r="R67" s="133">
        <v>0</v>
      </c>
      <c r="S67" s="133">
        <v>0</v>
      </c>
      <c r="T67" s="133">
        <v>0</v>
      </c>
      <c r="U67" s="133">
        <v>0</v>
      </c>
      <c r="V67" s="133">
        <v>0</v>
      </c>
      <c r="W67" s="133">
        <v>0</v>
      </c>
      <c r="X67" s="133">
        <v>0</v>
      </c>
      <c r="Y67" s="130">
        <f t="shared" si="0"/>
        <v>0</v>
      </c>
      <c r="Z67" s="113">
        <f t="shared" si="8"/>
        <v>0</v>
      </c>
    </row>
    <row r="68" spans="1:26" hidden="1" x14ac:dyDescent="0.25">
      <c r="A68" s="107"/>
      <c r="B68" s="107"/>
      <c r="C68" s="107"/>
      <c r="D68" s="107"/>
      <c r="E68" s="107"/>
      <c r="F68" s="132" t="s">
        <v>45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33">
        <v>0</v>
      </c>
      <c r="N68" s="133">
        <v>0</v>
      </c>
      <c r="O68" s="133">
        <v>0</v>
      </c>
      <c r="P68" s="133">
        <v>0</v>
      </c>
      <c r="Q68" s="133">
        <v>0</v>
      </c>
      <c r="R68" s="133">
        <v>0</v>
      </c>
      <c r="S68" s="133">
        <v>0</v>
      </c>
      <c r="T68" s="133">
        <v>0</v>
      </c>
      <c r="U68" s="133">
        <v>0</v>
      </c>
      <c r="V68" s="133">
        <v>0</v>
      </c>
      <c r="W68" s="133">
        <v>0</v>
      </c>
      <c r="X68" s="133">
        <v>0</v>
      </c>
      <c r="Y68" s="130">
        <f t="shared" si="0"/>
        <v>0</v>
      </c>
      <c r="Z68" s="113">
        <f t="shared" si="8"/>
        <v>0</v>
      </c>
    </row>
    <row r="69" spans="1:26" hidden="1" x14ac:dyDescent="0.25">
      <c r="A69" s="107"/>
      <c r="B69" s="107"/>
      <c r="C69" s="107"/>
      <c r="D69" s="107"/>
      <c r="E69" s="107"/>
      <c r="F69" s="132" t="s">
        <v>46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33">
        <v>0</v>
      </c>
      <c r="N69" s="133">
        <v>0</v>
      </c>
      <c r="O69" s="133">
        <v>0</v>
      </c>
      <c r="P69" s="133">
        <v>0</v>
      </c>
      <c r="Q69" s="133">
        <v>0</v>
      </c>
      <c r="R69" s="133">
        <v>0</v>
      </c>
      <c r="S69" s="133">
        <v>0</v>
      </c>
      <c r="T69" s="133">
        <v>0</v>
      </c>
      <c r="U69" s="133">
        <v>0</v>
      </c>
      <c r="V69" s="133">
        <v>0</v>
      </c>
      <c r="W69" s="133">
        <v>0</v>
      </c>
      <c r="X69" s="133">
        <v>0</v>
      </c>
      <c r="Y69" s="130">
        <f t="shared" si="0"/>
        <v>0</v>
      </c>
      <c r="Z69" s="113">
        <f t="shared" si="8"/>
        <v>0</v>
      </c>
    </row>
    <row r="70" spans="1:26" hidden="1" x14ac:dyDescent="0.25">
      <c r="A70" s="107"/>
      <c r="B70" s="107"/>
      <c r="C70" s="107"/>
      <c r="D70" s="107"/>
      <c r="E70" s="107"/>
      <c r="F70" s="132" t="s">
        <v>47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33">
        <v>0</v>
      </c>
      <c r="N70" s="133">
        <v>0</v>
      </c>
      <c r="O70" s="133">
        <v>0</v>
      </c>
      <c r="P70" s="133">
        <v>0</v>
      </c>
      <c r="Q70" s="133">
        <v>0</v>
      </c>
      <c r="R70" s="133">
        <v>0</v>
      </c>
      <c r="S70" s="133">
        <v>0</v>
      </c>
      <c r="T70" s="133">
        <v>0</v>
      </c>
      <c r="U70" s="133">
        <v>0</v>
      </c>
      <c r="V70" s="133">
        <v>0</v>
      </c>
      <c r="W70" s="133">
        <v>0</v>
      </c>
      <c r="X70" s="133">
        <v>0</v>
      </c>
      <c r="Y70" s="130">
        <f t="shared" si="0"/>
        <v>0</v>
      </c>
      <c r="Z70" s="113">
        <f t="shared" si="8"/>
        <v>0</v>
      </c>
    </row>
    <row r="71" spans="1:26" hidden="1" x14ac:dyDescent="0.25">
      <c r="A71" s="107"/>
      <c r="B71" s="107"/>
      <c r="C71" s="107"/>
      <c r="D71" s="107"/>
      <c r="E71" s="107"/>
      <c r="F71" s="132" t="s">
        <v>48</v>
      </c>
      <c r="H71" s="118">
        <v>0</v>
      </c>
      <c r="I71" s="118">
        <v>0</v>
      </c>
      <c r="J71" s="118">
        <v>0</v>
      </c>
      <c r="K71" s="118">
        <v>0</v>
      </c>
      <c r="L71" s="118">
        <v>0</v>
      </c>
      <c r="M71" s="133">
        <v>0</v>
      </c>
      <c r="N71" s="133">
        <v>0</v>
      </c>
      <c r="O71" s="133">
        <v>0</v>
      </c>
      <c r="P71" s="133">
        <v>0</v>
      </c>
      <c r="Q71" s="133">
        <v>0</v>
      </c>
      <c r="R71" s="133">
        <v>0</v>
      </c>
      <c r="S71" s="133">
        <v>0</v>
      </c>
      <c r="T71" s="133">
        <v>0</v>
      </c>
      <c r="U71" s="133">
        <v>0</v>
      </c>
      <c r="V71" s="133">
        <v>0</v>
      </c>
      <c r="W71" s="133">
        <v>0</v>
      </c>
      <c r="X71" s="133">
        <v>0</v>
      </c>
      <c r="Y71" s="130">
        <f t="shared" ref="Y71:Y134" si="9">SUM(M71:X71)</f>
        <v>0</v>
      </c>
      <c r="Z71" s="113">
        <f t="shared" si="8"/>
        <v>0</v>
      </c>
    </row>
    <row r="72" spans="1:26" hidden="1" x14ac:dyDescent="0.25">
      <c r="A72" s="107"/>
      <c r="B72" s="107"/>
      <c r="C72" s="107"/>
      <c r="D72" s="107"/>
      <c r="E72" s="107"/>
      <c r="F72" s="132" t="s">
        <v>49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133">
        <v>0</v>
      </c>
      <c r="N72" s="133">
        <v>0</v>
      </c>
      <c r="O72" s="133">
        <v>0</v>
      </c>
      <c r="P72" s="133">
        <v>0</v>
      </c>
      <c r="Q72" s="133">
        <v>0</v>
      </c>
      <c r="R72" s="133">
        <v>0</v>
      </c>
      <c r="S72" s="133">
        <v>0</v>
      </c>
      <c r="T72" s="133">
        <v>0</v>
      </c>
      <c r="U72" s="133">
        <v>0</v>
      </c>
      <c r="V72" s="133">
        <v>0</v>
      </c>
      <c r="W72" s="133">
        <v>0</v>
      </c>
      <c r="X72" s="133">
        <v>0</v>
      </c>
      <c r="Y72" s="130">
        <f t="shared" si="9"/>
        <v>0</v>
      </c>
      <c r="Z72" s="113">
        <f t="shared" si="8"/>
        <v>0</v>
      </c>
    </row>
    <row r="73" spans="1:26" ht="15.75" hidden="1" thickBot="1" x14ac:dyDescent="0.3">
      <c r="A73" s="107"/>
      <c r="B73" s="107"/>
      <c r="C73" s="107"/>
      <c r="D73" s="107"/>
      <c r="E73" s="107"/>
      <c r="F73" s="132" t="s">
        <v>50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34">
        <v>0</v>
      </c>
      <c r="O73" s="134">
        <v>0</v>
      </c>
      <c r="P73" s="134">
        <v>0</v>
      </c>
      <c r="Q73" s="134">
        <v>0</v>
      </c>
      <c r="R73" s="134">
        <v>0</v>
      </c>
      <c r="S73" s="134">
        <v>0</v>
      </c>
      <c r="T73" s="134">
        <v>0</v>
      </c>
      <c r="U73" s="134">
        <v>0</v>
      </c>
      <c r="V73" s="134">
        <v>0</v>
      </c>
      <c r="W73" s="134">
        <v>0</v>
      </c>
      <c r="X73" s="134">
        <v>0</v>
      </c>
      <c r="Y73" s="135">
        <f t="shared" si="9"/>
        <v>0</v>
      </c>
      <c r="Z73" s="113">
        <f t="shared" si="8"/>
        <v>0</v>
      </c>
    </row>
    <row r="74" spans="1:26" hidden="1" x14ac:dyDescent="0.25">
      <c r="A74" s="107"/>
      <c r="B74" s="107"/>
      <c r="C74" s="107"/>
      <c r="D74" s="107"/>
      <c r="E74" s="107"/>
      <c r="F74" s="107" t="s">
        <v>51</v>
      </c>
      <c r="G74" s="107"/>
      <c r="H74" s="118">
        <f>ROUND(SUM(H64:H73),5)</f>
        <v>0</v>
      </c>
      <c r="I74" s="118">
        <f t="shared" ref="I74:Y74" si="10">ROUND(SUM(I64:I73),5)</f>
        <v>0</v>
      </c>
      <c r="J74" s="118">
        <f t="shared" si="10"/>
        <v>0</v>
      </c>
      <c r="K74" s="118">
        <f t="shared" si="10"/>
        <v>0</v>
      </c>
      <c r="L74" s="118">
        <f t="shared" si="10"/>
        <v>0</v>
      </c>
      <c r="M74" s="118">
        <f t="shared" si="10"/>
        <v>0</v>
      </c>
      <c r="N74" s="118">
        <f t="shared" si="10"/>
        <v>0</v>
      </c>
      <c r="O74" s="118">
        <f t="shared" si="10"/>
        <v>0</v>
      </c>
      <c r="P74" s="118">
        <f t="shared" si="10"/>
        <v>0</v>
      </c>
      <c r="Q74" s="118">
        <f t="shared" si="10"/>
        <v>0</v>
      </c>
      <c r="R74" s="118">
        <f t="shared" si="10"/>
        <v>0</v>
      </c>
      <c r="S74" s="118">
        <f t="shared" si="10"/>
        <v>0</v>
      </c>
      <c r="T74" s="118">
        <f t="shared" si="10"/>
        <v>0</v>
      </c>
      <c r="U74" s="118">
        <f t="shared" si="10"/>
        <v>0</v>
      </c>
      <c r="V74" s="118">
        <f t="shared" si="10"/>
        <v>0</v>
      </c>
      <c r="W74" s="118">
        <f t="shared" si="10"/>
        <v>0</v>
      </c>
      <c r="X74" s="118">
        <f t="shared" si="10"/>
        <v>0</v>
      </c>
      <c r="Y74" s="118">
        <f t="shared" si="10"/>
        <v>0</v>
      </c>
      <c r="Z74" s="113">
        <f t="shared" si="8"/>
        <v>0</v>
      </c>
    </row>
    <row r="75" spans="1:26" hidden="1" x14ac:dyDescent="0.25">
      <c r="A75" s="107"/>
      <c r="B75" s="107"/>
      <c r="C75" s="107"/>
      <c r="D75" s="107"/>
      <c r="E75" s="107"/>
      <c r="F75" s="107" t="s">
        <v>32</v>
      </c>
      <c r="G75" s="107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30"/>
    </row>
    <row r="76" spans="1:26" hidden="1" x14ac:dyDescent="0.25">
      <c r="A76" s="107"/>
      <c r="B76" s="107"/>
      <c r="C76" s="107"/>
      <c r="D76" s="107"/>
      <c r="E76" s="107"/>
      <c r="F76" s="132" t="s">
        <v>33</v>
      </c>
      <c r="G76" s="107"/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33">
        <v>0</v>
      </c>
      <c r="N76" s="133">
        <v>0</v>
      </c>
      <c r="O76" s="133">
        <v>0</v>
      </c>
      <c r="P76" s="133">
        <v>0</v>
      </c>
      <c r="Q76" s="133">
        <v>0</v>
      </c>
      <c r="R76" s="133">
        <v>0</v>
      </c>
      <c r="S76" s="133">
        <v>0</v>
      </c>
      <c r="T76" s="133">
        <v>0</v>
      </c>
      <c r="U76" s="133">
        <v>0</v>
      </c>
      <c r="V76" s="133">
        <v>0</v>
      </c>
      <c r="W76" s="133">
        <v>0</v>
      </c>
      <c r="X76" s="133">
        <v>0</v>
      </c>
      <c r="Y76" s="133">
        <v>0</v>
      </c>
      <c r="Z76" s="113">
        <f t="shared" ref="Z76:Z83" si="11">ROUND(Y76-H76,0)</f>
        <v>0</v>
      </c>
    </row>
    <row r="77" spans="1:26" hidden="1" x14ac:dyDescent="0.25">
      <c r="A77" s="107"/>
      <c r="B77" s="107"/>
      <c r="C77" s="107"/>
      <c r="D77" s="107"/>
      <c r="E77" s="107"/>
      <c r="F77" s="132" t="s">
        <v>34</v>
      </c>
      <c r="G77" s="107"/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33">
        <v>0</v>
      </c>
      <c r="N77" s="133">
        <v>0</v>
      </c>
      <c r="O77" s="133">
        <v>0</v>
      </c>
      <c r="P77" s="133">
        <v>0</v>
      </c>
      <c r="Q77" s="133">
        <v>0</v>
      </c>
      <c r="R77" s="133">
        <v>0</v>
      </c>
      <c r="S77" s="133">
        <v>0</v>
      </c>
      <c r="T77" s="133">
        <v>0</v>
      </c>
      <c r="U77" s="133">
        <v>0</v>
      </c>
      <c r="V77" s="133">
        <v>0</v>
      </c>
      <c r="W77" s="133">
        <v>0</v>
      </c>
      <c r="X77" s="133">
        <v>0</v>
      </c>
      <c r="Y77" s="133">
        <v>0</v>
      </c>
      <c r="Z77" s="113">
        <f t="shared" si="11"/>
        <v>0</v>
      </c>
    </row>
    <row r="78" spans="1:26" hidden="1" x14ac:dyDescent="0.25">
      <c r="A78" s="107"/>
      <c r="B78" s="107"/>
      <c r="C78" s="107"/>
      <c r="D78" s="107"/>
      <c r="E78" s="107"/>
      <c r="F78" s="132" t="s">
        <v>35</v>
      </c>
      <c r="G78" s="107"/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33">
        <v>0</v>
      </c>
      <c r="N78" s="133">
        <v>0</v>
      </c>
      <c r="O78" s="133">
        <v>0</v>
      </c>
      <c r="P78" s="133">
        <v>0</v>
      </c>
      <c r="Q78" s="133">
        <v>0</v>
      </c>
      <c r="R78" s="133">
        <v>0</v>
      </c>
      <c r="S78" s="133">
        <v>0</v>
      </c>
      <c r="T78" s="133">
        <v>0</v>
      </c>
      <c r="U78" s="133">
        <v>0</v>
      </c>
      <c r="V78" s="133">
        <v>0</v>
      </c>
      <c r="W78" s="133">
        <v>0</v>
      </c>
      <c r="X78" s="133">
        <v>0</v>
      </c>
      <c r="Y78" s="133">
        <v>0</v>
      </c>
      <c r="Z78" s="113">
        <f t="shared" si="11"/>
        <v>0</v>
      </c>
    </row>
    <row r="79" spans="1:26" hidden="1" x14ac:dyDescent="0.25">
      <c r="A79" s="107"/>
      <c r="B79" s="107"/>
      <c r="C79" s="107"/>
      <c r="D79" s="107"/>
      <c r="E79" s="107"/>
      <c r="F79" s="132" t="s">
        <v>36</v>
      </c>
      <c r="G79" s="107"/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33">
        <v>0</v>
      </c>
      <c r="N79" s="133">
        <v>0</v>
      </c>
      <c r="O79" s="133">
        <v>0</v>
      </c>
      <c r="P79" s="133">
        <v>0</v>
      </c>
      <c r="Q79" s="133">
        <v>0</v>
      </c>
      <c r="R79" s="133">
        <v>0</v>
      </c>
      <c r="S79" s="133">
        <v>0</v>
      </c>
      <c r="T79" s="133">
        <v>0</v>
      </c>
      <c r="U79" s="133">
        <v>0</v>
      </c>
      <c r="V79" s="133">
        <v>0</v>
      </c>
      <c r="W79" s="133">
        <v>0</v>
      </c>
      <c r="X79" s="133">
        <v>0</v>
      </c>
      <c r="Y79" s="133">
        <v>0</v>
      </c>
      <c r="Z79" s="113">
        <f t="shared" si="11"/>
        <v>0</v>
      </c>
    </row>
    <row r="80" spans="1:26" hidden="1" x14ac:dyDescent="0.25">
      <c r="A80" s="107"/>
      <c r="B80" s="107"/>
      <c r="C80" s="107"/>
      <c r="D80" s="107"/>
      <c r="E80" s="107"/>
      <c r="F80" s="132" t="s">
        <v>37</v>
      </c>
      <c r="G80" s="107"/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33">
        <v>0</v>
      </c>
      <c r="N80" s="133">
        <v>0</v>
      </c>
      <c r="O80" s="133">
        <v>0</v>
      </c>
      <c r="P80" s="133">
        <v>0</v>
      </c>
      <c r="Q80" s="133">
        <v>0</v>
      </c>
      <c r="R80" s="133">
        <v>0</v>
      </c>
      <c r="S80" s="133">
        <v>0</v>
      </c>
      <c r="T80" s="133">
        <v>0</v>
      </c>
      <c r="U80" s="133">
        <v>0</v>
      </c>
      <c r="V80" s="133">
        <v>0</v>
      </c>
      <c r="W80" s="133">
        <v>0</v>
      </c>
      <c r="X80" s="133">
        <v>0</v>
      </c>
      <c r="Y80" s="133">
        <v>0</v>
      </c>
      <c r="Z80" s="113">
        <f t="shared" si="11"/>
        <v>0</v>
      </c>
    </row>
    <row r="81" spans="1:26" ht="15.75" hidden="1" thickBot="1" x14ac:dyDescent="0.3">
      <c r="A81" s="107"/>
      <c r="B81" s="107"/>
      <c r="C81" s="107"/>
      <c r="D81" s="107"/>
      <c r="E81" s="107"/>
      <c r="F81" s="132" t="s">
        <v>38</v>
      </c>
      <c r="G81" s="107"/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33">
        <v>0</v>
      </c>
      <c r="N81" s="133">
        <v>0</v>
      </c>
      <c r="O81" s="133">
        <v>0</v>
      </c>
      <c r="P81" s="133">
        <v>0</v>
      </c>
      <c r="Q81" s="133">
        <v>0</v>
      </c>
      <c r="R81" s="133">
        <v>0</v>
      </c>
      <c r="S81" s="133">
        <v>0</v>
      </c>
      <c r="T81" s="133">
        <v>0</v>
      </c>
      <c r="U81" s="133">
        <v>0</v>
      </c>
      <c r="V81" s="133">
        <v>0</v>
      </c>
      <c r="W81" s="133">
        <v>0</v>
      </c>
      <c r="X81" s="133">
        <v>0</v>
      </c>
      <c r="Y81" s="133">
        <v>0</v>
      </c>
      <c r="Z81" s="113">
        <f t="shared" si="11"/>
        <v>0</v>
      </c>
    </row>
    <row r="82" spans="1:26" ht="15.75" hidden="1" thickBot="1" x14ac:dyDescent="0.3">
      <c r="A82" s="107"/>
      <c r="B82" s="107"/>
      <c r="C82" s="107"/>
      <c r="D82" s="107"/>
      <c r="E82" s="107"/>
      <c r="F82" s="107" t="s">
        <v>39</v>
      </c>
      <c r="G82" s="107"/>
      <c r="H82" s="131">
        <f>ROUND(SUM(H76:H81),5)</f>
        <v>0</v>
      </c>
      <c r="I82" s="131">
        <f t="shared" ref="I82:Y82" si="12">ROUND(SUM(I76:I81),5)</f>
        <v>0</v>
      </c>
      <c r="J82" s="131">
        <f t="shared" si="12"/>
        <v>0</v>
      </c>
      <c r="K82" s="131">
        <f t="shared" si="12"/>
        <v>0</v>
      </c>
      <c r="L82" s="131">
        <f t="shared" si="12"/>
        <v>0</v>
      </c>
      <c r="M82" s="131">
        <f t="shared" si="12"/>
        <v>0</v>
      </c>
      <c r="N82" s="131">
        <f t="shared" si="12"/>
        <v>0</v>
      </c>
      <c r="O82" s="131">
        <f t="shared" si="12"/>
        <v>0</v>
      </c>
      <c r="P82" s="131">
        <f t="shared" si="12"/>
        <v>0</v>
      </c>
      <c r="Q82" s="131">
        <f t="shared" si="12"/>
        <v>0</v>
      </c>
      <c r="R82" s="131">
        <f t="shared" si="12"/>
        <v>0</v>
      </c>
      <c r="S82" s="131">
        <f t="shared" si="12"/>
        <v>0</v>
      </c>
      <c r="T82" s="131">
        <f t="shared" si="12"/>
        <v>0</v>
      </c>
      <c r="U82" s="131">
        <f t="shared" si="12"/>
        <v>0</v>
      </c>
      <c r="V82" s="131">
        <f t="shared" si="12"/>
        <v>0</v>
      </c>
      <c r="W82" s="131">
        <f t="shared" si="12"/>
        <v>0</v>
      </c>
      <c r="X82" s="131">
        <f t="shared" si="12"/>
        <v>0</v>
      </c>
      <c r="Y82" s="131">
        <f t="shared" si="12"/>
        <v>0</v>
      </c>
      <c r="Z82" s="113">
        <f t="shared" si="11"/>
        <v>0</v>
      </c>
    </row>
    <row r="83" spans="1:26" hidden="1" x14ac:dyDescent="0.25">
      <c r="A83" s="107"/>
      <c r="B83" s="107"/>
      <c r="C83" s="107"/>
      <c r="D83" s="107"/>
      <c r="E83" s="107" t="s">
        <v>162</v>
      </c>
      <c r="F83" s="107"/>
      <c r="G83" s="107"/>
      <c r="H83" s="118">
        <f>ROUND(H62+H74+H82,5)</f>
        <v>0</v>
      </c>
      <c r="I83" s="118">
        <f t="shared" ref="I83:X83" si="13">ROUND(I62+I74+I82,5)</f>
        <v>0</v>
      </c>
      <c r="J83" s="118">
        <f t="shared" si="13"/>
        <v>0</v>
      </c>
      <c r="K83" s="118">
        <f t="shared" si="13"/>
        <v>0</v>
      </c>
      <c r="L83" s="118">
        <f t="shared" si="13"/>
        <v>0</v>
      </c>
      <c r="M83" s="118">
        <f t="shared" si="13"/>
        <v>0</v>
      </c>
      <c r="N83" s="118">
        <f t="shared" si="13"/>
        <v>0</v>
      </c>
      <c r="O83" s="118">
        <f t="shared" si="13"/>
        <v>0</v>
      </c>
      <c r="P83" s="118">
        <f t="shared" si="13"/>
        <v>0</v>
      </c>
      <c r="Q83" s="118">
        <f t="shared" si="13"/>
        <v>0</v>
      </c>
      <c r="R83" s="118">
        <f t="shared" si="13"/>
        <v>0</v>
      </c>
      <c r="S83" s="118">
        <f t="shared" si="13"/>
        <v>0</v>
      </c>
      <c r="T83" s="118">
        <f t="shared" si="13"/>
        <v>0</v>
      </c>
      <c r="U83" s="118">
        <f t="shared" si="13"/>
        <v>0</v>
      </c>
      <c r="V83" s="118">
        <f t="shared" si="13"/>
        <v>0</v>
      </c>
      <c r="W83" s="118">
        <f t="shared" si="13"/>
        <v>0</v>
      </c>
      <c r="X83" s="118">
        <f t="shared" si="13"/>
        <v>0</v>
      </c>
      <c r="Y83" s="130">
        <f t="shared" si="9"/>
        <v>0</v>
      </c>
      <c r="Z83" s="113">
        <f t="shared" si="11"/>
        <v>0</v>
      </c>
    </row>
    <row r="84" spans="1:26" hidden="1" x14ac:dyDescent="0.25">
      <c r="A84" s="107"/>
      <c r="B84" s="107"/>
      <c r="C84" s="107"/>
      <c r="D84" s="107"/>
      <c r="E84" s="107" t="s">
        <v>52</v>
      </c>
      <c r="F84" s="107"/>
      <c r="G84" s="107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30"/>
    </row>
    <row r="85" spans="1:26" hidden="1" x14ac:dyDescent="0.25">
      <c r="A85" s="107"/>
      <c r="B85" s="107"/>
      <c r="C85" s="107"/>
      <c r="D85" s="107"/>
      <c r="E85" s="107"/>
      <c r="F85" s="132" t="s">
        <v>53</v>
      </c>
      <c r="G85" s="107"/>
      <c r="H85" s="118">
        <v>0</v>
      </c>
      <c r="I85" s="118">
        <v>0</v>
      </c>
      <c r="J85" s="118">
        <v>0</v>
      </c>
      <c r="K85" s="118">
        <v>0</v>
      </c>
      <c r="L85" s="118">
        <v>0</v>
      </c>
      <c r="M85" s="133">
        <v>0</v>
      </c>
      <c r="N85" s="133">
        <v>0</v>
      </c>
      <c r="O85" s="133">
        <v>0</v>
      </c>
      <c r="P85" s="133">
        <v>0</v>
      </c>
      <c r="Q85" s="133">
        <v>0</v>
      </c>
      <c r="R85" s="133">
        <v>0</v>
      </c>
      <c r="S85" s="133">
        <v>0</v>
      </c>
      <c r="T85" s="133">
        <v>0</v>
      </c>
      <c r="U85" s="133">
        <v>0</v>
      </c>
      <c r="V85" s="133">
        <v>0</v>
      </c>
      <c r="W85" s="133">
        <v>0</v>
      </c>
      <c r="X85" s="133">
        <v>0</v>
      </c>
      <c r="Y85" s="130">
        <f t="shared" si="9"/>
        <v>0</v>
      </c>
      <c r="Z85" s="113">
        <f t="shared" ref="Z85:Z116" si="14">ROUND(Y85-H85,0)</f>
        <v>0</v>
      </c>
    </row>
    <row r="86" spans="1:26" hidden="1" x14ac:dyDescent="0.25">
      <c r="A86" s="107"/>
      <c r="B86" s="107"/>
      <c r="C86" s="107"/>
      <c r="D86" s="107"/>
      <c r="E86" s="107"/>
      <c r="F86" s="132" t="s">
        <v>54</v>
      </c>
      <c r="G86" s="107"/>
      <c r="H86" s="118">
        <v>0</v>
      </c>
      <c r="I86" s="118">
        <v>0</v>
      </c>
      <c r="J86" s="118">
        <v>0</v>
      </c>
      <c r="K86" s="118">
        <v>0</v>
      </c>
      <c r="L86" s="118">
        <v>0</v>
      </c>
      <c r="M86" s="133">
        <v>0</v>
      </c>
      <c r="N86" s="133">
        <v>0</v>
      </c>
      <c r="O86" s="133">
        <v>0</v>
      </c>
      <c r="P86" s="133">
        <v>0</v>
      </c>
      <c r="Q86" s="133">
        <v>0</v>
      </c>
      <c r="R86" s="133">
        <v>0</v>
      </c>
      <c r="S86" s="133">
        <v>0</v>
      </c>
      <c r="T86" s="133">
        <v>0</v>
      </c>
      <c r="U86" s="133">
        <v>0</v>
      </c>
      <c r="V86" s="133">
        <v>0</v>
      </c>
      <c r="W86" s="133">
        <v>0</v>
      </c>
      <c r="X86" s="133">
        <v>0</v>
      </c>
      <c r="Y86" s="130">
        <f t="shared" si="9"/>
        <v>0</v>
      </c>
      <c r="Z86" s="113">
        <f t="shared" si="14"/>
        <v>0</v>
      </c>
    </row>
    <row r="87" spans="1:26" hidden="1" x14ac:dyDescent="0.25">
      <c r="A87" s="107"/>
      <c r="B87" s="107"/>
      <c r="C87" s="107"/>
      <c r="D87" s="107"/>
      <c r="E87" s="107"/>
      <c r="F87" s="132" t="s">
        <v>55</v>
      </c>
      <c r="G87" s="107"/>
      <c r="H87" s="118">
        <v>0</v>
      </c>
      <c r="I87" s="118">
        <v>0</v>
      </c>
      <c r="J87" s="118">
        <v>0</v>
      </c>
      <c r="K87" s="118">
        <v>0</v>
      </c>
      <c r="L87" s="118">
        <v>0</v>
      </c>
      <c r="M87" s="133">
        <v>0</v>
      </c>
      <c r="N87" s="133">
        <v>0</v>
      </c>
      <c r="O87" s="133">
        <v>0</v>
      </c>
      <c r="P87" s="133">
        <v>0</v>
      </c>
      <c r="Q87" s="133">
        <v>0</v>
      </c>
      <c r="R87" s="133">
        <v>0</v>
      </c>
      <c r="S87" s="133">
        <v>0</v>
      </c>
      <c r="T87" s="133">
        <v>0</v>
      </c>
      <c r="U87" s="133">
        <v>0</v>
      </c>
      <c r="V87" s="133">
        <v>0</v>
      </c>
      <c r="W87" s="133">
        <v>0</v>
      </c>
      <c r="X87" s="133">
        <v>0</v>
      </c>
      <c r="Y87" s="130">
        <f t="shared" si="9"/>
        <v>0</v>
      </c>
      <c r="Z87" s="113">
        <f t="shared" si="14"/>
        <v>0</v>
      </c>
    </row>
    <row r="88" spans="1:26" hidden="1" x14ac:dyDescent="0.25">
      <c r="A88" s="107"/>
      <c r="B88" s="107"/>
      <c r="C88" s="107"/>
      <c r="D88" s="107"/>
      <c r="E88" s="107"/>
      <c r="F88" s="132" t="s">
        <v>56</v>
      </c>
      <c r="G88" s="107"/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33">
        <v>0</v>
      </c>
      <c r="N88" s="133">
        <v>0</v>
      </c>
      <c r="O88" s="133">
        <v>0</v>
      </c>
      <c r="P88" s="133">
        <v>0</v>
      </c>
      <c r="Q88" s="133">
        <v>0</v>
      </c>
      <c r="R88" s="133">
        <v>0</v>
      </c>
      <c r="S88" s="133">
        <v>0</v>
      </c>
      <c r="T88" s="133">
        <v>0</v>
      </c>
      <c r="U88" s="133">
        <v>0</v>
      </c>
      <c r="V88" s="133">
        <v>0</v>
      </c>
      <c r="W88" s="133">
        <v>0</v>
      </c>
      <c r="X88" s="133">
        <v>0</v>
      </c>
      <c r="Y88" s="130">
        <f t="shared" si="9"/>
        <v>0</v>
      </c>
      <c r="Z88" s="113">
        <f t="shared" si="14"/>
        <v>0</v>
      </c>
    </row>
    <row r="89" spans="1:26" hidden="1" x14ac:dyDescent="0.25">
      <c r="A89" s="107"/>
      <c r="B89" s="107"/>
      <c r="C89" s="107"/>
      <c r="D89" s="107"/>
      <c r="E89" s="107"/>
      <c r="F89" s="132" t="s">
        <v>57</v>
      </c>
      <c r="G89" s="107"/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33">
        <v>0</v>
      </c>
      <c r="N89" s="133">
        <v>0</v>
      </c>
      <c r="O89" s="133">
        <v>0</v>
      </c>
      <c r="P89" s="133">
        <v>0</v>
      </c>
      <c r="Q89" s="133">
        <v>0</v>
      </c>
      <c r="R89" s="133">
        <v>0</v>
      </c>
      <c r="S89" s="133">
        <v>0</v>
      </c>
      <c r="T89" s="133">
        <v>0</v>
      </c>
      <c r="U89" s="133">
        <v>0</v>
      </c>
      <c r="V89" s="133">
        <v>0</v>
      </c>
      <c r="W89" s="133">
        <v>0</v>
      </c>
      <c r="X89" s="133">
        <v>0</v>
      </c>
      <c r="Y89" s="130">
        <f t="shared" si="9"/>
        <v>0</v>
      </c>
      <c r="Z89" s="113">
        <f t="shared" si="14"/>
        <v>0</v>
      </c>
    </row>
    <row r="90" spans="1:26" hidden="1" x14ac:dyDescent="0.25">
      <c r="A90" s="107"/>
      <c r="B90" s="107"/>
      <c r="C90" s="107"/>
      <c r="D90" s="107"/>
      <c r="E90" s="107"/>
      <c r="F90" s="132" t="s">
        <v>58</v>
      </c>
      <c r="G90" s="107"/>
      <c r="H90" s="118">
        <v>0</v>
      </c>
      <c r="I90" s="118">
        <v>0</v>
      </c>
      <c r="J90" s="118">
        <v>0</v>
      </c>
      <c r="K90" s="118">
        <v>0</v>
      </c>
      <c r="L90" s="118">
        <v>0</v>
      </c>
      <c r="M90" s="133">
        <v>0</v>
      </c>
      <c r="N90" s="133">
        <v>0</v>
      </c>
      <c r="O90" s="133">
        <v>0</v>
      </c>
      <c r="P90" s="133">
        <v>0</v>
      </c>
      <c r="Q90" s="133">
        <v>0</v>
      </c>
      <c r="R90" s="133">
        <v>0</v>
      </c>
      <c r="S90" s="133">
        <v>0</v>
      </c>
      <c r="T90" s="133">
        <v>0</v>
      </c>
      <c r="U90" s="133">
        <v>0</v>
      </c>
      <c r="V90" s="133">
        <v>0</v>
      </c>
      <c r="W90" s="133">
        <v>0</v>
      </c>
      <c r="X90" s="133">
        <v>0</v>
      </c>
      <c r="Y90" s="130">
        <f t="shared" si="9"/>
        <v>0</v>
      </c>
      <c r="Z90" s="113">
        <f t="shared" si="14"/>
        <v>0</v>
      </c>
    </row>
    <row r="91" spans="1:26" hidden="1" x14ac:dyDescent="0.25">
      <c r="A91" s="107"/>
      <c r="B91" s="107"/>
      <c r="C91" s="107"/>
      <c r="D91" s="107"/>
      <c r="E91" s="107"/>
      <c r="F91" s="132" t="s">
        <v>59</v>
      </c>
      <c r="G91" s="107"/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33">
        <v>0</v>
      </c>
      <c r="N91" s="133">
        <v>0</v>
      </c>
      <c r="O91" s="133">
        <v>0</v>
      </c>
      <c r="P91" s="133">
        <v>0</v>
      </c>
      <c r="Q91" s="133">
        <v>0</v>
      </c>
      <c r="R91" s="133">
        <v>0</v>
      </c>
      <c r="S91" s="133">
        <v>0</v>
      </c>
      <c r="T91" s="133">
        <v>0</v>
      </c>
      <c r="U91" s="133">
        <v>0</v>
      </c>
      <c r="V91" s="133">
        <v>0</v>
      </c>
      <c r="W91" s="133">
        <v>0</v>
      </c>
      <c r="X91" s="133">
        <v>0</v>
      </c>
      <c r="Y91" s="130">
        <f t="shared" si="9"/>
        <v>0</v>
      </c>
      <c r="Z91" s="113">
        <f t="shared" si="14"/>
        <v>0</v>
      </c>
    </row>
    <row r="92" spans="1:26" hidden="1" x14ac:dyDescent="0.25">
      <c r="A92" s="107"/>
      <c r="B92" s="107"/>
      <c r="C92" s="107"/>
      <c r="D92" s="107"/>
      <c r="E92" s="107"/>
      <c r="F92" s="132" t="s">
        <v>60</v>
      </c>
      <c r="G92" s="107"/>
      <c r="H92" s="118">
        <v>0</v>
      </c>
      <c r="I92" s="118">
        <v>0</v>
      </c>
      <c r="J92" s="118">
        <v>0</v>
      </c>
      <c r="K92" s="118">
        <v>0</v>
      </c>
      <c r="L92" s="118">
        <v>0</v>
      </c>
      <c r="M92" s="133">
        <v>0</v>
      </c>
      <c r="N92" s="133">
        <v>0</v>
      </c>
      <c r="O92" s="133">
        <v>0</v>
      </c>
      <c r="P92" s="133">
        <v>0</v>
      </c>
      <c r="Q92" s="133">
        <v>0</v>
      </c>
      <c r="R92" s="133">
        <v>0</v>
      </c>
      <c r="S92" s="133">
        <v>0</v>
      </c>
      <c r="T92" s="133">
        <v>0</v>
      </c>
      <c r="U92" s="133">
        <v>0</v>
      </c>
      <c r="V92" s="133">
        <v>0</v>
      </c>
      <c r="W92" s="133">
        <v>0</v>
      </c>
      <c r="X92" s="133">
        <v>0</v>
      </c>
      <c r="Y92" s="130">
        <f t="shared" si="9"/>
        <v>0</v>
      </c>
      <c r="Z92" s="113">
        <f t="shared" si="14"/>
        <v>0</v>
      </c>
    </row>
    <row r="93" spans="1:26" hidden="1" x14ac:dyDescent="0.25">
      <c r="A93" s="107"/>
      <c r="B93" s="107"/>
      <c r="C93" s="107"/>
      <c r="D93" s="107"/>
      <c r="E93" s="107"/>
      <c r="F93" s="132" t="s">
        <v>305</v>
      </c>
      <c r="G93" s="107"/>
      <c r="H93" s="118">
        <v>0</v>
      </c>
      <c r="I93" s="118">
        <v>0</v>
      </c>
      <c r="J93" s="118">
        <v>0</v>
      </c>
      <c r="K93" s="118">
        <v>0</v>
      </c>
      <c r="L93" s="118">
        <v>0</v>
      </c>
      <c r="M93" s="133">
        <v>0</v>
      </c>
      <c r="N93" s="133">
        <v>0</v>
      </c>
      <c r="O93" s="133">
        <v>0</v>
      </c>
      <c r="P93" s="133">
        <v>0</v>
      </c>
      <c r="Q93" s="133">
        <v>0</v>
      </c>
      <c r="R93" s="133">
        <v>0</v>
      </c>
      <c r="S93" s="133">
        <v>0</v>
      </c>
      <c r="T93" s="133">
        <v>0</v>
      </c>
      <c r="U93" s="133">
        <v>0</v>
      </c>
      <c r="V93" s="133">
        <v>0</v>
      </c>
      <c r="W93" s="133">
        <v>0</v>
      </c>
      <c r="X93" s="133">
        <v>0</v>
      </c>
      <c r="Y93" s="130">
        <f t="shared" si="9"/>
        <v>0</v>
      </c>
      <c r="Z93" s="113">
        <f t="shared" si="14"/>
        <v>0</v>
      </c>
    </row>
    <row r="94" spans="1:26" hidden="1" x14ac:dyDescent="0.25">
      <c r="A94" s="107"/>
      <c r="B94" s="107"/>
      <c r="C94" s="107"/>
      <c r="D94" s="107"/>
      <c r="E94" s="107"/>
      <c r="F94" s="132" t="s">
        <v>163</v>
      </c>
      <c r="G94" s="107"/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33">
        <v>0</v>
      </c>
      <c r="N94" s="133">
        <v>0</v>
      </c>
      <c r="O94" s="133">
        <v>0</v>
      </c>
      <c r="P94" s="133">
        <v>0</v>
      </c>
      <c r="Q94" s="133">
        <v>0</v>
      </c>
      <c r="R94" s="133">
        <v>0</v>
      </c>
      <c r="S94" s="133">
        <v>0</v>
      </c>
      <c r="T94" s="133">
        <v>0</v>
      </c>
      <c r="U94" s="133">
        <v>0</v>
      </c>
      <c r="V94" s="133">
        <v>0</v>
      </c>
      <c r="W94" s="133">
        <v>0</v>
      </c>
      <c r="X94" s="133">
        <v>0</v>
      </c>
      <c r="Y94" s="130">
        <f t="shared" si="9"/>
        <v>0</v>
      </c>
      <c r="Z94" s="113">
        <f t="shared" si="14"/>
        <v>0</v>
      </c>
    </row>
    <row r="95" spans="1:26" hidden="1" x14ac:dyDescent="0.25">
      <c r="A95" s="107"/>
      <c r="B95" s="107"/>
      <c r="C95" s="107"/>
      <c r="D95" s="107"/>
      <c r="E95" s="107"/>
      <c r="F95" s="132" t="s">
        <v>62</v>
      </c>
      <c r="G95" s="107"/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33">
        <v>0</v>
      </c>
      <c r="N95" s="133">
        <v>0</v>
      </c>
      <c r="O95" s="133">
        <v>0</v>
      </c>
      <c r="P95" s="133">
        <v>0</v>
      </c>
      <c r="Q95" s="133">
        <v>0</v>
      </c>
      <c r="R95" s="133">
        <v>0</v>
      </c>
      <c r="S95" s="133">
        <v>0</v>
      </c>
      <c r="T95" s="133">
        <v>0</v>
      </c>
      <c r="U95" s="133">
        <v>0</v>
      </c>
      <c r="V95" s="133">
        <v>0</v>
      </c>
      <c r="W95" s="133">
        <v>0</v>
      </c>
      <c r="X95" s="133">
        <v>0</v>
      </c>
      <c r="Y95" s="130">
        <f t="shared" si="9"/>
        <v>0</v>
      </c>
      <c r="Z95" s="113">
        <f t="shared" si="14"/>
        <v>0</v>
      </c>
    </row>
    <row r="96" spans="1:26" hidden="1" x14ac:dyDescent="0.25">
      <c r="A96" s="107"/>
      <c r="B96" s="107"/>
      <c r="C96" s="107"/>
      <c r="D96" s="107"/>
      <c r="E96" s="107"/>
      <c r="F96" s="132" t="s">
        <v>63</v>
      </c>
      <c r="G96" s="107"/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33">
        <v>0</v>
      </c>
      <c r="N96" s="133">
        <v>0</v>
      </c>
      <c r="O96" s="133">
        <v>0</v>
      </c>
      <c r="P96" s="133">
        <v>0</v>
      </c>
      <c r="Q96" s="133">
        <v>0</v>
      </c>
      <c r="R96" s="133">
        <v>0</v>
      </c>
      <c r="S96" s="133">
        <v>0</v>
      </c>
      <c r="T96" s="133">
        <v>0</v>
      </c>
      <c r="U96" s="133">
        <v>0</v>
      </c>
      <c r="V96" s="133">
        <v>0</v>
      </c>
      <c r="W96" s="133">
        <v>0</v>
      </c>
      <c r="X96" s="133">
        <v>0</v>
      </c>
      <c r="Y96" s="130">
        <f t="shared" si="9"/>
        <v>0</v>
      </c>
      <c r="Z96" s="113">
        <f t="shared" si="14"/>
        <v>0</v>
      </c>
    </row>
    <row r="97" spans="1:26" hidden="1" x14ac:dyDescent="0.25">
      <c r="A97" s="107"/>
      <c r="B97" s="107"/>
      <c r="C97" s="107"/>
      <c r="D97" s="107"/>
      <c r="E97" s="107"/>
      <c r="F97" s="132" t="s">
        <v>64</v>
      </c>
      <c r="G97" s="107"/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33">
        <v>0</v>
      </c>
      <c r="N97" s="133">
        <v>0</v>
      </c>
      <c r="O97" s="133">
        <v>0</v>
      </c>
      <c r="P97" s="133">
        <v>0</v>
      </c>
      <c r="Q97" s="133">
        <v>0</v>
      </c>
      <c r="R97" s="133">
        <v>0</v>
      </c>
      <c r="S97" s="133">
        <v>0</v>
      </c>
      <c r="T97" s="133">
        <v>0</v>
      </c>
      <c r="U97" s="133">
        <v>0</v>
      </c>
      <c r="V97" s="133">
        <v>0</v>
      </c>
      <c r="W97" s="133">
        <v>0</v>
      </c>
      <c r="X97" s="133">
        <v>0</v>
      </c>
      <c r="Y97" s="130">
        <f t="shared" si="9"/>
        <v>0</v>
      </c>
      <c r="Z97" s="113">
        <f t="shared" si="14"/>
        <v>0</v>
      </c>
    </row>
    <row r="98" spans="1:26" hidden="1" x14ac:dyDescent="0.25">
      <c r="A98" s="107"/>
      <c r="B98" s="107"/>
      <c r="C98" s="107"/>
      <c r="D98" s="107"/>
      <c r="E98" s="107"/>
      <c r="F98" s="132" t="s">
        <v>65</v>
      </c>
      <c r="G98" s="107"/>
      <c r="H98" s="118">
        <v>0</v>
      </c>
      <c r="I98" s="118">
        <v>0</v>
      </c>
      <c r="J98" s="118">
        <v>0</v>
      </c>
      <c r="K98" s="118">
        <v>0</v>
      </c>
      <c r="L98" s="118">
        <v>0</v>
      </c>
      <c r="M98" s="133">
        <v>0</v>
      </c>
      <c r="N98" s="133">
        <v>0</v>
      </c>
      <c r="O98" s="133">
        <v>0</v>
      </c>
      <c r="P98" s="133">
        <v>0</v>
      </c>
      <c r="Q98" s="133">
        <v>0</v>
      </c>
      <c r="R98" s="133">
        <v>0</v>
      </c>
      <c r="S98" s="133">
        <v>0</v>
      </c>
      <c r="T98" s="133">
        <v>0</v>
      </c>
      <c r="U98" s="133">
        <v>0</v>
      </c>
      <c r="V98" s="133">
        <v>0</v>
      </c>
      <c r="W98" s="133">
        <v>0</v>
      </c>
      <c r="X98" s="133">
        <v>0</v>
      </c>
      <c r="Y98" s="130">
        <f t="shared" si="9"/>
        <v>0</v>
      </c>
      <c r="Z98" s="113">
        <f t="shared" si="14"/>
        <v>0</v>
      </c>
    </row>
    <row r="99" spans="1:26" hidden="1" x14ac:dyDescent="0.25">
      <c r="A99" s="107"/>
      <c r="B99" s="107"/>
      <c r="C99" s="107"/>
      <c r="D99" s="107"/>
      <c r="E99" s="107"/>
      <c r="F99" s="132" t="s">
        <v>66</v>
      </c>
      <c r="G99" s="107"/>
      <c r="H99" s="118">
        <v>0</v>
      </c>
      <c r="I99" s="118">
        <v>0</v>
      </c>
      <c r="J99" s="118">
        <v>0</v>
      </c>
      <c r="K99" s="118">
        <v>0</v>
      </c>
      <c r="L99" s="118">
        <v>0</v>
      </c>
      <c r="M99" s="133">
        <v>0</v>
      </c>
      <c r="N99" s="133">
        <v>0</v>
      </c>
      <c r="O99" s="133">
        <v>0</v>
      </c>
      <c r="P99" s="133">
        <v>0</v>
      </c>
      <c r="Q99" s="133">
        <v>0</v>
      </c>
      <c r="R99" s="133">
        <v>0</v>
      </c>
      <c r="S99" s="133">
        <v>0</v>
      </c>
      <c r="T99" s="133">
        <v>0</v>
      </c>
      <c r="U99" s="133">
        <v>0</v>
      </c>
      <c r="V99" s="133">
        <v>0</v>
      </c>
      <c r="W99" s="133">
        <v>0</v>
      </c>
      <c r="X99" s="133">
        <v>0</v>
      </c>
      <c r="Y99" s="130">
        <f t="shared" si="9"/>
        <v>0</v>
      </c>
      <c r="Z99" s="113">
        <f t="shared" si="14"/>
        <v>0</v>
      </c>
    </row>
    <row r="100" spans="1:26" hidden="1" x14ac:dyDescent="0.25">
      <c r="A100" s="107"/>
      <c r="B100" s="107"/>
      <c r="C100" s="107"/>
      <c r="D100" s="107"/>
      <c r="E100" s="107"/>
      <c r="F100" s="132" t="s">
        <v>67</v>
      </c>
      <c r="G100" s="107"/>
      <c r="H100" s="118">
        <v>0</v>
      </c>
      <c r="I100" s="118">
        <v>0</v>
      </c>
      <c r="J100" s="118">
        <v>0</v>
      </c>
      <c r="K100" s="118">
        <v>0</v>
      </c>
      <c r="L100" s="118">
        <v>0</v>
      </c>
      <c r="M100" s="133">
        <v>0</v>
      </c>
      <c r="N100" s="133">
        <v>0</v>
      </c>
      <c r="O100" s="133">
        <v>0</v>
      </c>
      <c r="P100" s="133">
        <v>0</v>
      </c>
      <c r="Q100" s="133">
        <v>0</v>
      </c>
      <c r="R100" s="133">
        <v>0</v>
      </c>
      <c r="S100" s="133">
        <v>0</v>
      </c>
      <c r="T100" s="133">
        <v>0</v>
      </c>
      <c r="U100" s="133">
        <v>0</v>
      </c>
      <c r="V100" s="133">
        <v>0</v>
      </c>
      <c r="W100" s="133">
        <v>0</v>
      </c>
      <c r="X100" s="133">
        <v>0</v>
      </c>
      <c r="Y100" s="130">
        <f t="shared" si="9"/>
        <v>0</v>
      </c>
      <c r="Z100" s="113">
        <f t="shared" si="14"/>
        <v>0</v>
      </c>
    </row>
    <row r="101" spans="1:26" hidden="1" x14ac:dyDescent="0.25">
      <c r="A101" s="107"/>
      <c r="B101" s="107"/>
      <c r="C101" s="107"/>
      <c r="D101" s="107"/>
      <c r="E101" s="107"/>
      <c r="F101" s="132" t="s">
        <v>68</v>
      </c>
      <c r="G101" s="107"/>
      <c r="H101" s="118">
        <v>0</v>
      </c>
      <c r="I101" s="118">
        <v>0</v>
      </c>
      <c r="J101" s="118">
        <v>0</v>
      </c>
      <c r="K101" s="118">
        <v>0</v>
      </c>
      <c r="L101" s="118">
        <v>0</v>
      </c>
      <c r="M101" s="133">
        <v>0</v>
      </c>
      <c r="N101" s="133">
        <v>0</v>
      </c>
      <c r="O101" s="133">
        <v>0</v>
      </c>
      <c r="P101" s="133">
        <v>0</v>
      </c>
      <c r="Q101" s="133">
        <v>0</v>
      </c>
      <c r="R101" s="133">
        <v>0</v>
      </c>
      <c r="S101" s="133">
        <v>0</v>
      </c>
      <c r="T101" s="133">
        <v>0</v>
      </c>
      <c r="U101" s="133">
        <v>0</v>
      </c>
      <c r="V101" s="133">
        <v>0</v>
      </c>
      <c r="W101" s="133">
        <v>0</v>
      </c>
      <c r="X101" s="133">
        <v>0</v>
      </c>
      <c r="Y101" s="130">
        <f t="shared" si="9"/>
        <v>0</v>
      </c>
      <c r="Z101" s="113">
        <f t="shared" si="14"/>
        <v>0</v>
      </c>
    </row>
    <row r="102" spans="1:26" hidden="1" x14ac:dyDescent="0.25">
      <c r="A102" s="107"/>
      <c r="B102" s="107"/>
      <c r="C102" s="107"/>
      <c r="D102" s="107"/>
      <c r="E102" s="107"/>
      <c r="F102" s="132" t="s">
        <v>69</v>
      </c>
      <c r="G102" s="107"/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33">
        <v>0</v>
      </c>
      <c r="N102" s="133">
        <v>0</v>
      </c>
      <c r="O102" s="133">
        <v>0</v>
      </c>
      <c r="P102" s="133">
        <v>0</v>
      </c>
      <c r="Q102" s="133">
        <v>0</v>
      </c>
      <c r="R102" s="133">
        <v>0</v>
      </c>
      <c r="S102" s="133">
        <v>0</v>
      </c>
      <c r="T102" s="133">
        <v>0</v>
      </c>
      <c r="U102" s="133">
        <v>0</v>
      </c>
      <c r="V102" s="133">
        <v>0</v>
      </c>
      <c r="W102" s="133">
        <v>0</v>
      </c>
      <c r="X102" s="133">
        <v>0</v>
      </c>
      <c r="Y102" s="130">
        <f t="shared" si="9"/>
        <v>0</v>
      </c>
      <c r="Z102" s="113">
        <f t="shared" si="14"/>
        <v>0</v>
      </c>
    </row>
    <row r="103" spans="1:26" hidden="1" x14ac:dyDescent="0.25">
      <c r="A103" s="107"/>
      <c r="B103" s="107"/>
      <c r="C103" s="107"/>
      <c r="D103" s="107"/>
      <c r="E103" s="107"/>
      <c r="F103" s="132" t="s">
        <v>70</v>
      </c>
      <c r="G103" s="107"/>
      <c r="H103" s="118">
        <v>0</v>
      </c>
      <c r="I103" s="118">
        <v>0</v>
      </c>
      <c r="J103" s="118">
        <v>0</v>
      </c>
      <c r="K103" s="118">
        <v>0</v>
      </c>
      <c r="L103" s="118">
        <v>0</v>
      </c>
      <c r="M103" s="133">
        <v>0</v>
      </c>
      <c r="N103" s="133">
        <v>0</v>
      </c>
      <c r="O103" s="133">
        <v>0</v>
      </c>
      <c r="P103" s="133">
        <v>0</v>
      </c>
      <c r="Q103" s="133">
        <v>0</v>
      </c>
      <c r="R103" s="133">
        <v>0</v>
      </c>
      <c r="S103" s="133">
        <v>0</v>
      </c>
      <c r="T103" s="133">
        <v>0</v>
      </c>
      <c r="U103" s="133">
        <v>0</v>
      </c>
      <c r="V103" s="133">
        <v>0</v>
      </c>
      <c r="W103" s="133">
        <v>0</v>
      </c>
      <c r="X103" s="133">
        <v>0</v>
      </c>
      <c r="Y103" s="130">
        <f t="shared" si="9"/>
        <v>0</v>
      </c>
      <c r="Z103" s="113">
        <f t="shared" si="14"/>
        <v>0</v>
      </c>
    </row>
    <row r="104" spans="1:26" hidden="1" x14ac:dyDescent="0.25">
      <c r="A104" s="107"/>
      <c r="B104" s="107"/>
      <c r="C104" s="107"/>
      <c r="D104" s="107"/>
      <c r="E104" s="107"/>
      <c r="F104" s="132" t="s">
        <v>71</v>
      </c>
      <c r="G104" s="107"/>
      <c r="H104" s="118">
        <v>0</v>
      </c>
      <c r="I104" s="118">
        <v>0</v>
      </c>
      <c r="J104" s="118">
        <v>0</v>
      </c>
      <c r="K104" s="118">
        <v>0</v>
      </c>
      <c r="L104" s="118">
        <v>0</v>
      </c>
      <c r="M104" s="133">
        <v>0</v>
      </c>
      <c r="N104" s="133">
        <v>0</v>
      </c>
      <c r="O104" s="133">
        <v>0</v>
      </c>
      <c r="P104" s="133">
        <v>0</v>
      </c>
      <c r="Q104" s="133">
        <v>0</v>
      </c>
      <c r="R104" s="133">
        <v>0</v>
      </c>
      <c r="S104" s="133">
        <v>0</v>
      </c>
      <c r="T104" s="133">
        <v>0</v>
      </c>
      <c r="U104" s="133">
        <v>0</v>
      </c>
      <c r="V104" s="133">
        <v>0</v>
      </c>
      <c r="W104" s="133">
        <v>0</v>
      </c>
      <c r="X104" s="133">
        <v>0</v>
      </c>
      <c r="Y104" s="130">
        <f t="shared" si="9"/>
        <v>0</v>
      </c>
      <c r="Z104" s="113">
        <f t="shared" si="14"/>
        <v>0</v>
      </c>
    </row>
    <row r="105" spans="1:26" hidden="1" x14ac:dyDescent="0.25">
      <c r="A105" s="107"/>
      <c r="B105" s="107"/>
      <c r="C105" s="107"/>
      <c r="D105" s="107"/>
      <c r="E105" s="107"/>
      <c r="F105" s="132" t="s">
        <v>72</v>
      </c>
      <c r="G105" s="107"/>
      <c r="H105" s="118">
        <v>0</v>
      </c>
      <c r="I105" s="118">
        <v>0</v>
      </c>
      <c r="J105" s="118">
        <v>0</v>
      </c>
      <c r="K105" s="118">
        <v>0</v>
      </c>
      <c r="L105" s="118">
        <v>0</v>
      </c>
      <c r="M105" s="133">
        <v>0</v>
      </c>
      <c r="N105" s="133">
        <v>0</v>
      </c>
      <c r="O105" s="133">
        <v>0</v>
      </c>
      <c r="P105" s="133">
        <v>0</v>
      </c>
      <c r="Q105" s="133">
        <v>0</v>
      </c>
      <c r="R105" s="133">
        <v>0</v>
      </c>
      <c r="S105" s="133">
        <v>0</v>
      </c>
      <c r="T105" s="133">
        <v>0</v>
      </c>
      <c r="U105" s="133">
        <v>0</v>
      </c>
      <c r="V105" s="133">
        <v>0</v>
      </c>
      <c r="W105" s="133">
        <v>0</v>
      </c>
      <c r="X105" s="133">
        <v>0</v>
      </c>
      <c r="Y105" s="130">
        <f t="shared" si="9"/>
        <v>0</v>
      </c>
      <c r="Z105" s="113">
        <f t="shared" si="14"/>
        <v>0</v>
      </c>
    </row>
    <row r="106" spans="1:26" hidden="1" x14ac:dyDescent="0.25">
      <c r="A106" s="107"/>
      <c r="B106" s="107"/>
      <c r="C106" s="107"/>
      <c r="D106" s="107"/>
      <c r="E106" s="107"/>
      <c r="F106" s="132" t="s">
        <v>73</v>
      </c>
      <c r="G106" s="107"/>
      <c r="H106" s="118">
        <v>0</v>
      </c>
      <c r="I106" s="118">
        <v>0</v>
      </c>
      <c r="J106" s="118">
        <v>0</v>
      </c>
      <c r="K106" s="118">
        <v>0</v>
      </c>
      <c r="L106" s="118">
        <v>0</v>
      </c>
      <c r="M106" s="133">
        <v>0</v>
      </c>
      <c r="N106" s="133">
        <v>0</v>
      </c>
      <c r="O106" s="133">
        <v>0</v>
      </c>
      <c r="P106" s="133">
        <v>0</v>
      </c>
      <c r="Q106" s="133">
        <v>0</v>
      </c>
      <c r="R106" s="133">
        <v>0</v>
      </c>
      <c r="S106" s="133">
        <v>0</v>
      </c>
      <c r="T106" s="133">
        <v>0</v>
      </c>
      <c r="U106" s="133">
        <v>0</v>
      </c>
      <c r="V106" s="133">
        <v>0</v>
      </c>
      <c r="W106" s="133">
        <v>0</v>
      </c>
      <c r="X106" s="133">
        <v>0</v>
      </c>
      <c r="Y106" s="130">
        <f t="shared" si="9"/>
        <v>0</v>
      </c>
      <c r="Z106" s="113">
        <f t="shared" si="14"/>
        <v>0</v>
      </c>
    </row>
    <row r="107" spans="1:26" hidden="1" x14ac:dyDescent="0.25">
      <c r="A107" s="107"/>
      <c r="B107" s="107"/>
      <c r="C107" s="107"/>
      <c r="D107" s="107"/>
      <c r="E107" s="107"/>
      <c r="F107" s="132" t="s">
        <v>74</v>
      </c>
      <c r="G107" s="107"/>
      <c r="H107" s="118">
        <v>0</v>
      </c>
      <c r="I107" s="118">
        <v>0</v>
      </c>
      <c r="J107" s="118">
        <v>0</v>
      </c>
      <c r="K107" s="118">
        <v>0</v>
      </c>
      <c r="L107" s="118">
        <v>0</v>
      </c>
      <c r="M107" s="133">
        <v>0</v>
      </c>
      <c r="N107" s="133">
        <v>0</v>
      </c>
      <c r="O107" s="133">
        <v>0</v>
      </c>
      <c r="P107" s="133">
        <v>0</v>
      </c>
      <c r="Q107" s="133">
        <v>0</v>
      </c>
      <c r="R107" s="133">
        <v>0</v>
      </c>
      <c r="S107" s="133">
        <v>0</v>
      </c>
      <c r="T107" s="133">
        <v>0</v>
      </c>
      <c r="U107" s="133">
        <v>0</v>
      </c>
      <c r="V107" s="133">
        <v>0</v>
      </c>
      <c r="W107" s="133">
        <v>0</v>
      </c>
      <c r="X107" s="133">
        <v>0</v>
      </c>
      <c r="Y107" s="130">
        <f t="shared" si="9"/>
        <v>0</v>
      </c>
      <c r="Z107" s="113">
        <f t="shared" si="14"/>
        <v>0</v>
      </c>
    </row>
    <row r="108" spans="1:26" hidden="1" x14ac:dyDescent="0.25">
      <c r="A108" s="107"/>
      <c r="B108" s="107"/>
      <c r="C108" s="107"/>
      <c r="D108" s="107"/>
      <c r="E108" s="107"/>
      <c r="F108" s="132" t="s">
        <v>75</v>
      </c>
      <c r="G108" s="107"/>
      <c r="H108" s="118">
        <v>0</v>
      </c>
      <c r="I108" s="118">
        <v>0</v>
      </c>
      <c r="J108" s="118">
        <v>0</v>
      </c>
      <c r="K108" s="118">
        <v>0</v>
      </c>
      <c r="L108" s="118">
        <v>0</v>
      </c>
      <c r="M108" s="133">
        <v>0</v>
      </c>
      <c r="N108" s="133">
        <v>0</v>
      </c>
      <c r="O108" s="133">
        <v>0</v>
      </c>
      <c r="P108" s="133">
        <v>0</v>
      </c>
      <c r="Q108" s="133">
        <v>0</v>
      </c>
      <c r="R108" s="133">
        <v>0</v>
      </c>
      <c r="S108" s="133">
        <v>0</v>
      </c>
      <c r="T108" s="133">
        <v>0</v>
      </c>
      <c r="U108" s="133">
        <v>0</v>
      </c>
      <c r="V108" s="133">
        <v>0</v>
      </c>
      <c r="W108" s="133">
        <v>0</v>
      </c>
      <c r="X108" s="133">
        <v>0</v>
      </c>
      <c r="Y108" s="130">
        <f t="shared" si="9"/>
        <v>0</v>
      </c>
      <c r="Z108" s="113">
        <f t="shared" si="14"/>
        <v>0</v>
      </c>
    </row>
    <row r="109" spans="1:26" hidden="1" x14ac:dyDescent="0.25">
      <c r="A109" s="107"/>
      <c r="B109" s="107"/>
      <c r="C109" s="107"/>
      <c r="D109" s="107"/>
      <c r="E109" s="107"/>
      <c r="F109" s="132" t="s">
        <v>76</v>
      </c>
      <c r="G109" s="107"/>
      <c r="H109" s="118">
        <v>0</v>
      </c>
      <c r="I109" s="118">
        <v>0</v>
      </c>
      <c r="J109" s="118">
        <v>0</v>
      </c>
      <c r="K109" s="118">
        <v>0</v>
      </c>
      <c r="L109" s="118">
        <v>0</v>
      </c>
      <c r="M109" s="133">
        <v>0</v>
      </c>
      <c r="N109" s="133">
        <v>0</v>
      </c>
      <c r="O109" s="133">
        <v>0</v>
      </c>
      <c r="P109" s="133">
        <v>0</v>
      </c>
      <c r="Q109" s="133">
        <v>0</v>
      </c>
      <c r="R109" s="133">
        <v>0</v>
      </c>
      <c r="S109" s="133">
        <v>0</v>
      </c>
      <c r="T109" s="133">
        <v>0</v>
      </c>
      <c r="U109" s="133">
        <v>0</v>
      </c>
      <c r="V109" s="133">
        <v>0</v>
      </c>
      <c r="W109" s="133">
        <v>0</v>
      </c>
      <c r="X109" s="133">
        <v>0</v>
      </c>
      <c r="Y109" s="130">
        <f t="shared" si="9"/>
        <v>0</v>
      </c>
      <c r="Z109" s="113">
        <f t="shared" si="14"/>
        <v>0</v>
      </c>
    </row>
    <row r="110" spans="1:26" hidden="1" x14ac:dyDescent="0.25">
      <c r="A110" s="107"/>
      <c r="B110" s="107"/>
      <c r="C110" s="107"/>
      <c r="D110" s="107"/>
      <c r="E110" s="107"/>
      <c r="F110" s="132" t="s">
        <v>77</v>
      </c>
      <c r="G110" s="107"/>
      <c r="H110" s="118">
        <v>0</v>
      </c>
      <c r="I110" s="118">
        <v>0</v>
      </c>
      <c r="J110" s="118">
        <v>0</v>
      </c>
      <c r="K110" s="118">
        <v>0</v>
      </c>
      <c r="L110" s="118">
        <v>0</v>
      </c>
      <c r="M110" s="133">
        <v>0</v>
      </c>
      <c r="N110" s="133">
        <v>0</v>
      </c>
      <c r="O110" s="133">
        <v>0</v>
      </c>
      <c r="P110" s="133">
        <v>0</v>
      </c>
      <c r="Q110" s="133">
        <v>0</v>
      </c>
      <c r="R110" s="133">
        <v>0</v>
      </c>
      <c r="S110" s="133">
        <v>0</v>
      </c>
      <c r="T110" s="133">
        <v>0</v>
      </c>
      <c r="U110" s="133">
        <v>0</v>
      </c>
      <c r="V110" s="133">
        <v>0</v>
      </c>
      <c r="W110" s="133">
        <v>0</v>
      </c>
      <c r="X110" s="133">
        <v>0</v>
      </c>
      <c r="Y110" s="130">
        <f t="shared" si="9"/>
        <v>0</v>
      </c>
      <c r="Z110" s="113">
        <f t="shared" si="14"/>
        <v>0</v>
      </c>
    </row>
    <row r="111" spans="1:26" hidden="1" x14ac:dyDescent="0.25">
      <c r="A111" s="107"/>
      <c r="B111" s="107"/>
      <c r="C111" s="107"/>
      <c r="D111" s="107"/>
      <c r="E111" s="107"/>
      <c r="F111" s="132" t="s">
        <v>78</v>
      </c>
      <c r="G111" s="107"/>
      <c r="H111" s="118">
        <v>0</v>
      </c>
      <c r="I111" s="118">
        <v>0</v>
      </c>
      <c r="J111" s="118">
        <v>0</v>
      </c>
      <c r="K111" s="118">
        <v>0</v>
      </c>
      <c r="L111" s="118">
        <v>0</v>
      </c>
      <c r="M111" s="133">
        <v>0</v>
      </c>
      <c r="N111" s="133">
        <v>0</v>
      </c>
      <c r="O111" s="133">
        <v>0</v>
      </c>
      <c r="P111" s="133">
        <v>0</v>
      </c>
      <c r="Q111" s="133">
        <v>0</v>
      </c>
      <c r="R111" s="133">
        <v>0</v>
      </c>
      <c r="S111" s="133">
        <v>0</v>
      </c>
      <c r="T111" s="133">
        <v>0</v>
      </c>
      <c r="U111" s="133">
        <v>0</v>
      </c>
      <c r="V111" s="133">
        <v>0</v>
      </c>
      <c r="W111" s="133">
        <v>0</v>
      </c>
      <c r="X111" s="133">
        <v>0</v>
      </c>
      <c r="Y111" s="130">
        <f t="shared" si="9"/>
        <v>0</v>
      </c>
      <c r="Z111" s="113">
        <f t="shared" si="14"/>
        <v>0</v>
      </c>
    </row>
    <row r="112" spans="1:26" hidden="1" x14ac:dyDescent="0.25">
      <c r="A112" s="107"/>
      <c r="B112" s="107"/>
      <c r="C112" s="107"/>
      <c r="D112" s="107"/>
      <c r="E112" s="107"/>
      <c r="F112" s="132" t="s">
        <v>79</v>
      </c>
      <c r="G112" s="107"/>
      <c r="H112" s="118">
        <v>0</v>
      </c>
      <c r="I112" s="118">
        <v>0</v>
      </c>
      <c r="J112" s="118">
        <v>0</v>
      </c>
      <c r="K112" s="118">
        <v>0</v>
      </c>
      <c r="L112" s="118">
        <v>0</v>
      </c>
      <c r="M112" s="133">
        <v>0</v>
      </c>
      <c r="N112" s="133">
        <v>0</v>
      </c>
      <c r="O112" s="133">
        <v>0</v>
      </c>
      <c r="P112" s="133">
        <v>0</v>
      </c>
      <c r="Q112" s="133">
        <v>0</v>
      </c>
      <c r="R112" s="133">
        <v>0</v>
      </c>
      <c r="S112" s="133">
        <v>0</v>
      </c>
      <c r="T112" s="133">
        <v>0</v>
      </c>
      <c r="U112" s="133">
        <v>0</v>
      </c>
      <c r="V112" s="133">
        <v>0</v>
      </c>
      <c r="W112" s="133">
        <v>0</v>
      </c>
      <c r="X112" s="133">
        <v>0</v>
      </c>
      <c r="Y112" s="130">
        <f t="shared" si="9"/>
        <v>0</v>
      </c>
      <c r="Z112" s="113">
        <f t="shared" si="14"/>
        <v>0</v>
      </c>
    </row>
    <row r="113" spans="1:26" hidden="1" x14ac:dyDescent="0.25">
      <c r="A113" s="107"/>
      <c r="B113" s="107"/>
      <c r="C113" s="107"/>
      <c r="D113" s="107"/>
      <c r="E113" s="107"/>
      <c r="F113" s="132" t="s">
        <v>80</v>
      </c>
      <c r="G113" s="107"/>
      <c r="H113" s="118">
        <v>0</v>
      </c>
      <c r="I113" s="118">
        <v>0</v>
      </c>
      <c r="J113" s="118">
        <v>0</v>
      </c>
      <c r="K113" s="118">
        <v>0</v>
      </c>
      <c r="L113" s="118">
        <v>0</v>
      </c>
      <c r="M113" s="133">
        <v>0</v>
      </c>
      <c r="N113" s="133">
        <v>0</v>
      </c>
      <c r="O113" s="133">
        <v>0</v>
      </c>
      <c r="P113" s="133">
        <v>0</v>
      </c>
      <c r="Q113" s="133">
        <v>0</v>
      </c>
      <c r="R113" s="133">
        <v>0</v>
      </c>
      <c r="S113" s="133">
        <v>0</v>
      </c>
      <c r="T113" s="133">
        <v>0</v>
      </c>
      <c r="U113" s="133">
        <v>0</v>
      </c>
      <c r="V113" s="133">
        <v>0</v>
      </c>
      <c r="W113" s="133">
        <v>0</v>
      </c>
      <c r="X113" s="133">
        <v>0</v>
      </c>
      <c r="Y113" s="130">
        <f t="shared" si="9"/>
        <v>0</v>
      </c>
      <c r="Z113" s="113">
        <f t="shared" si="14"/>
        <v>0</v>
      </c>
    </row>
    <row r="114" spans="1:26" hidden="1" x14ac:dyDescent="0.25">
      <c r="A114" s="107"/>
      <c r="B114" s="107"/>
      <c r="C114" s="107"/>
      <c r="D114" s="107"/>
      <c r="E114" s="107"/>
      <c r="F114" s="132" t="s">
        <v>81</v>
      </c>
      <c r="G114" s="107"/>
      <c r="H114" s="118">
        <v>0</v>
      </c>
      <c r="I114" s="118">
        <v>0</v>
      </c>
      <c r="J114" s="118">
        <v>0</v>
      </c>
      <c r="K114" s="118">
        <v>0</v>
      </c>
      <c r="L114" s="118">
        <v>0</v>
      </c>
      <c r="M114" s="133">
        <v>0</v>
      </c>
      <c r="N114" s="133">
        <v>0</v>
      </c>
      <c r="O114" s="133">
        <v>0</v>
      </c>
      <c r="P114" s="133">
        <v>0</v>
      </c>
      <c r="Q114" s="133">
        <v>0</v>
      </c>
      <c r="R114" s="133">
        <v>0</v>
      </c>
      <c r="S114" s="133">
        <v>0</v>
      </c>
      <c r="T114" s="133">
        <v>0</v>
      </c>
      <c r="U114" s="133">
        <v>0</v>
      </c>
      <c r="V114" s="133">
        <v>0</v>
      </c>
      <c r="W114" s="133">
        <v>0</v>
      </c>
      <c r="X114" s="133">
        <v>0</v>
      </c>
      <c r="Y114" s="130">
        <f t="shared" si="9"/>
        <v>0</v>
      </c>
      <c r="Z114" s="113">
        <f t="shared" si="14"/>
        <v>0</v>
      </c>
    </row>
    <row r="115" spans="1:26" ht="15.75" hidden="1" thickBot="1" x14ac:dyDescent="0.3">
      <c r="A115" s="107"/>
      <c r="B115" s="107"/>
      <c r="C115" s="107"/>
      <c r="D115" s="107"/>
      <c r="E115" s="107"/>
      <c r="F115" s="132" t="s">
        <v>82</v>
      </c>
      <c r="G115" s="107"/>
      <c r="H115" s="134">
        <v>0</v>
      </c>
      <c r="I115" s="134">
        <v>0</v>
      </c>
      <c r="J115" s="134">
        <v>0</v>
      </c>
      <c r="K115" s="134">
        <v>0</v>
      </c>
      <c r="L115" s="134">
        <v>0</v>
      </c>
      <c r="M115" s="134">
        <v>0</v>
      </c>
      <c r="N115" s="134">
        <v>0</v>
      </c>
      <c r="O115" s="134">
        <v>0</v>
      </c>
      <c r="P115" s="134">
        <v>0</v>
      </c>
      <c r="Q115" s="134">
        <v>0</v>
      </c>
      <c r="R115" s="134">
        <v>0</v>
      </c>
      <c r="S115" s="134">
        <v>0</v>
      </c>
      <c r="T115" s="134">
        <v>0</v>
      </c>
      <c r="U115" s="134">
        <v>0</v>
      </c>
      <c r="V115" s="134">
        <v>0</v>
      </c>
      <c r="W115" s="134">
        <v>0</v>
      </c>
      <c r="X115" s="134">
        <v>0</v>
      </c>
      <c r="Y115" s="135">
        <f t="shared" si="9"/>
        <v>0</v>
      </c>
      <c r="Z115" s="113">
        <f t="shared" si="14"/>
        <v>0</v>
      </c>
    </row>
    <row r="116" spans="1:26" hidden="1" x14ac:dyDescent="0.25">
      <c r="A116" s="107"/>
      <c r="B116" s="107"/>
      <c r="C116" s="107"/>
      <c r="D116" s="107"/>
      <c r="E116" s="107" t="s">
        <v>83</v>
      </c>
      <c r="F116" s="107"/>
      <c r="G116" s="107"/>
      <c r="H116" s="118">
        <f>ROUND(SUM(H85:H115),5)</f>
        <v>0</v>
      </c>
      <c r="I116" s="118">
        <f t="shared" ref="I116:Y116" si="15">ROUND(SUM(I85:I115),5)</f>
        <v>0</v>
      </c>
      <c r="J116" s="118">
        <f t="shared" si="15"/>
        <v>0</v>
      </c>
      <c r="K116" s="118">
        <f t="shared" si="15"/>
        <v>0</v>
      </c>
      <c r="L116" s="118">
        <f t="shared" si="15"/>
        <v>0</v>
      </c>
      <c r="M116" s="118">
        <f t="shared" si="15"/>
        <v>0</v>
      </c>
      <c r="N116" s="118">
        <f t="shared" si="15"/>
        <v>0</v>
      </c>
      <c r="O116" s="118">
        <f t="shared" si="15"/>
        <v>0</v>
      </c>
      <c r="P116" s="118">
        <f t="shared" si="15"/>
        <v>0</v>
      </c>
      <c r="Q116" s="118">
        <f t="shared" si="15"/>
        <v>0</v>
      </c>
      <c r="R116" s="118">
        <f t="shared" si="15"/>
        <v>0</v>
      </c>
      <c r="S116" s="118">
        <f t="shared" si="15"/>
        <v>0</v>
      </c>
      <c r="T116" s="118">
        <f t="shared" si="15"/>
        <v>0</v>
      </c>
      <c r="U116" s="118">
        <f t="shared" si="15"/>
        <v>0</v>
      </c>
      <c r="V116" s="118">
        <f t="shared" si="15"/>
        <v>0</v>
      </c>
      <c r="W116" s="118">
        <f t="shared" si="15"/>
        <v>0</v>
      </c>
      <c r="X116" s="118">
        <f t="shared" si="15"/>
        <v>0</v>
      </c>
      <c r="Y116" s="118">
        <f t="shared" si="15"/>
        <v>0</v>
      </c>
      <c r="Z116" s="113">
        <f t="shared" si="14"/>
        <v>0</v>
      </c>
    </row>
    <row r="117" spans="1:26" hidden="1" x14ac:dyDescent="0.25">
      <c r="A117" s="107"/>
      <c r="B117" s="107"/>
      <c r="C117" s="107"/>
      <c r="D117" s="107"/>
      <c r="E117" s="107" t="s">
        <v>84</v>
      </c>
      <c r="F117" s="107"/>
      <c r="G117" s="107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30"/>
    </row>
    <row r="118" spans="1:26" hidden="1" x14ac:dyDescent="0.25">
      <c r="A118" s="107"/>
      <c r="B118" s="107"/>
      <c r="C118" s="107"/>
      <c r="D118" s="107"/>
      <c r="E118" s="107"/>
      <c r="F118" s="132" t="s">
        <v>85</v>
      </c>
      <c r="G118" s="107"/>
      <c r="H118" s="118">
        <v>0</v>
      </c>
      <c r="I118" s="118">
        <v>0</v>
      </c>
      <c r="J118" s="118">
        <v>0</v>
      </c>
      <c r="K118" s="118">
        <v>0</v>
      </c>
      <c r="L118" s="118">
        <v>0</v>
      </c>
      <c r="M118" s="118">
        <v>0</v>
      </c>
      <c r="N118" s="118">
        <v>0</v>
      </c>
      <c r="O118" s="118">
        <v>0</v>
      </c>
      <c r="P118" s="118">
        <v>0</v>
      </c>
      <c r="Q118" s="118">
        <v>0</v>
      </c>
      <c r="R118" s="118">
        <v>0</v>
      </c>
      <c r="S118" s="118">
        <v>0</v>
      </c>
      <c r="T118" s="118">
        <v>0</v>
      </c>
      <c r="U118" s="118">
        <v>0</v>
      </c>
      <c r="V118" s="118">
        <v>0</v>
      </c>
      <c r="W118" s="118">
        <v>0</v>
      </c>
      <c r="X118" s="118">
        <v>0</v>
      </c>
      <c r="Y118" s="130">
        <f t="shared" si="9"/>
        <v>0</v>
      </c>
      <c r="Z118" s="113">
        <f t="shared" ref="Z118:Z157" si="16">ROUND(Y118-H118,0)</f>
        <v>0</v>
      </c>
    </row>
    <row r="119" spans="1:26" hidden="1" x14ac:dyDescent="0.25">
      <c r="A119" s="107"/>
      <c r="B119" s="107"/>
      <c r="C119" s="107"/>
      <c r="D119" s="107"/>
      <c r="E119" s="107"/>
      <c r="F119" s="132" t="s">
        <v>86</v>
      </c>
      <c r="G119" s="107"/>
      <c r="H119" s="118">
        <v>0</v>
      </c>
      <c r="I119" s="118">
        <v>0</v>
      </c>
      <c r="J119" s="118">
        <v>0</v>
      </c>
      <c r="K119" s="118">
        <v>0</v>
      </c>
      <c r="L119" s="118">
        <v>0</v>
      </c>
      <c r="M119" s="118">
        <v>0</v>
      </c>
      <c r="N119" s="118">
        <v>0</v>
      </c>
      <c r="O119" s="118">
        <v>0</v>
      </c>
      <c r="P119" s="118">
        <v>0</v>
      </c>
      <c r="Q119" s="118">
        <v>0</v>
      </c>
      <c r="R119" s="118">
        <v>0</v>
      </c>
      <c r="S119" s="118">
        <v>0</v>
      </c>
      <c r="T119" s="118">
        <v>0</v>
      </c>
      <c r="U119" s="118">
        <v>0</v>
      </c>
      <c r="V119" s="118">
        <v>0</v>
      </c>
      <c r="W119" s="118">
        <v>0</v>
      </c>
      <c r="X119" s="118">
        <v>0</v>
      </c>
      <c r="Y119" s="130">
        <f t="shared" si="9"/>
        <v>0</v>
      </c>
      <c r="Z119" s="113">
        <f t="shared" si="16"/>
        <v>0</v>
      </c>
    </row>
    <row r="120" spans="1:26" hidden="1" x14ac:dyDescent="0.25">
      <c r="A120" s="107"/>
      <c r="B120" s="107"/>
      <c r="C120" s="107"/>
      <c r="D120" s="107"/>
      <c r="E120" s="107"/>
      <c r="F120" s="132" t="s">
        <v>87</v>
      </c>
      <c r="G120" s="107"/>
      <c r="H120" s="118">
        <v>0</v>
      </c>
      <c r="I120" s="118">
        <v>0</v>
      </c>
      <c r="J120" s="118">
        <v>0</v>
      </c>
      <c r="K120" s="118">
        <v>0</v>
      </c>
      <c r="L120" s="118">
        <v>0</v>
      </c>
      <c r="M120" s="118">
        <v>0</v>
      </c>
      <c r="N120" s="118">
        <v>0</v>
      </c>
      <c r="O120" s="118">
        <v>0</v>
      </c>
      <c r="P120" s="118">
        <v>0</v>
      </c>
      <c r="Q120" s="118">
        <v>0</v>
      </c>
      <c r="R120" s="118">
        <v>0</v>
      </c>
      <c r="S120" s="118">
        <v>0</v>
      </c>
      <c r="T120" s="118">
        <v>0</v>
      </c>
      <c r="U120" s="118">
        <v>0</v>
      </c>
      <c r="V120" s="118">
        <v>0</v>
      </c>
      <c r="W120" s="118">
        <v>0</v>
      </c>
      <c r="X120" s="118">
        <v>0</v>
      </c>
      <c r="Y120" s="130">
        <f t="shared" si="9"/>
        <v>0</v>
      </c>
      <c r="Z120" s="113">
        <f t="shared" si="16"/>
        <v>0</v>
      </c>
    </row>
    <row r="121" spans="1:26" hidden="1" x14ac:dyDescent="0.25">
      <c r="A121" s="107"/>
      <c r="B121" s="107"/>
      <c r="C121" s="107"/>
      <c r="D121" s="107"/>
      <c r="E121" s="107"/>
      <c r="F121" s="132" t="s">
        <v>88</v>
      </c>
      <c r="G121" s="107"/>
      <c r="H121" s="118">
        <v>0</v>
      </c>
      <c r="I121" s="118">
        <v>0</v>
      </c>
      <c r="J121" s="118">
        <v>0</v>
      </c>
      <c r="K121" s="118">
        <v>0</v>
      </c>
      <c r="L121" s="118">
        <v>0</v>
      </c>
      <c r="M121" s="118">
        <v>0</v>
      </c>
      <c r="N121" s="118">
        <v>0</v>
      </c>
      <c r="O121" s="118">
        <v>0</v>
      </c>
      <c r="P121" s="118">
        <v>0</v>
      </c>
      <c r="Q121" s="118">
        <v>0</v>
      </c>
      <c r="R121" s="118">
        <v>0</v>
      </c>
      <c r="S121" s="118">
        <v>0</v>
      </c>
      <c r="T121" s="118">
        <v>0</v>
      </c>
      <c r="U121" s="118">
        <v>0</v>
      </c>
      <c r="V121" s="118">
        <v>0</v>
      </c>
      <c r="W121" s="118">
        <v>0</v>
      </c>
      <c r="X121" s="118">
        <v>0</v>
      </c>
      <c r="Y121" s="130">
        <f t="shared" si="9"/>
        <v>0</v>
      </c>
      <c r="Z121" s="113">
        <f t="shared" si="16"/>
        <v>0</v>
      </c>
    </row>
    <row r="122" spans="1:26" hidden="1" x14ac:dyDescent="0.25">
      <c r="A122" s="107"/>
      <c r="B122" s="107"/>
      <c r="C122" s="107"/>
      <c r="D122" s="107"/>
      <c r="E122" s="107"/>
      <c r="F122" s="132" t="s">
        <v>89</v>
      </c>
      <c r="G122" s="107"/>
      <c r="H122" s="118">
        <v>0</v>
      </c>
      <c r="I122" s="118">
        <v>0</v>
      </c>
      <c r="J122" s="118">
        <v>0</v>
      </c>
      <c r="K122" s="118">
        <v>0</v>
      </c>
      <c r="L122" s="118">
        <v>0</v>
      </c>
      <c r="M122" s="118">
        <v>0</v>
      </c>
      <c r="N122" s="118">
        <v>0</v>
      </c>
      <c r="O122" s="118">
        <v>0</v>
      </c>
      <c r="P122" s="118">
        <v>0</v>
      </c>
      <c r="Q122" s="118">
        <v>0</v>
      </c>
      <c r="R122" s="118">
        <v>0</v>
      </c>
      <c r="S122" s="118">
        <v>0</v>
      </c>
      <c r="T122" s="118">
        <v>0</v>
      </c>
      <c r="U122" s="118">
        <v>0</v>
      </c>
      <c r="V122" s="118">
        <v>0</v>
      </c>
      <c r="W122" s="118">
        <v>0</v>
      </c>
      <c r="X122" s="118">
        <v>0</v>
      </c>
      <c r="Y122" s="130">
        <f t="shared" si="9"/>
        <v>0</v>
      </c>
      <c r="Z122" s="113">
        <f t="shared" si="16"/>
        <v>0</v>
      </c>
    </row>
    <row r="123" spans="1:26" hidden="1" x14ac:dyDescent="0.25">
      <c r="A123" s="107"/>
      <c r="B123" s="107"/>
      <c r="C123" s="107"/>
      <c r="D123" s="107"/>
      <c r="E123" s="107"/>
      <c r="F123" s="132" t="s">
        <v>90</v>
      </c>
      <c r="G123" s="107"/>
      <c r="H123" s="118">
        <v>0</v>
      </c>
      <c r="I123" s="118">
        <v>0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18">
        <v>0</v>
      </c>
      <c r="Q123" s="118">
        <v>0</v>
      </c>
      <c r="R123" s="118">
        <v>0</v>
      </c>
      <c r="S123" s="118">
        <v>0</v>
      </c>
      <c r="T123" s="118">
        <v>0</v>
      </c>
      <c r="U123" s="118">
        <v>0</v>
      </c>
      <c r="V123" s="118">
        <v>0</v>
      </c>
      <c r="W123" s="118">
        <v>0</v>
      </c>
      <c r="X123" s="118">
        <v>0</v>
      </c>
      <c r="Y123" s="130">
        <f t="shared" si="9"/>
        <v>0</v>
      </c>
      <c r="Z123" s="113">
        <f t="shared" si="16"/>
        <v>0</v>
      </c>
    </row>
    <row r="124" spans="1:26" hidden="1" x14ac:dyDescent="0.25">
      <c r="A124" s="107"/>
      <c r="B124" s="107"/>
      <c r="C124" s="107"/>
      <c r="D124" s="107"/>
      <c r="E124" s="107"/>
      <c r="F124" s="132" t="s">
        <v>91</v>
      </c>
      <c r="G124" s="107"/>
      <c r="H124" s="118">
        <v>0</v>
      </c>
      <c r="I124" s="118">
        <v>0</v>
      </c>
      <c r="J124" s="118">
        <v>0</v>
      </c>
      <c r="K124" s="118">
        <v>0</v>
      </c>
      <c r="L124" s="118">
        <v>0</v>
      </c>
      <c r="M124" s="118">
        <v>0</v>
      </c>
      <c r="N124" s="118">
        <v>0</v>
      </c>
      <c r="O124" s="118">
        <v>0</v>
      </c>
      <c r="P124" s="118">
        <v>0</v>
      </c>
      <c r="Q124" s="118">
        <v>0</v>
      </c>
      <c r="R124" s="118">
        <v>0</v>
      </c>
      <c r="S124" s="118">
        <v>0</v>
      </c>
      <c r="T124" s="118">
        <v>0</v>
      </c>
      <c r="U124" s="118">
        <v>0</v>
      </c>
      <c r="V124" s="118">
        <v>0</v>
      </c>
      <c r="W124" s="118">
        <v>0</v>
      </c>
      <c r="X124" s="118">
        <v>0</v>
      </c>
      <c r="Y124" s="130">
        <f t="shared" si="9"/>
        <v>0</v>
      </c>
      <c r="Z124" s="113">
        <f t="shared" si="16"/>
        <v>0</v>
      </c>
    </row>
    <row r="125" spans="1:26" hidden="1" x14ac:dyDescent="0.25">
      <c r="A125" s="107"/>
      <c r="B125" s="107"/>
      <c r="C125" s="107"/>
      <c r="D125" s="107"/>
      <c r="E125" s="107"/>
      <c r="F125" s="132" t="s">
        <v>92</v>
      </c>
      <c r="G125" s="107"/>
      <c r="H125" s="118">
        <v>0</v>
      </c>
      <c r="I125" s="118">
        <v>0</v>
      </c>
      <c r="J125" s="118">
        <v>0</v>
      </c>
      <c r="K125" s="118">
        <v>0</v>
      </c>
      <c r="L125" s="118">
        <v>0</v>
      </c>
      <c r="M125" s="118">
        <v>0</v>
      </c>
      <c r="N125" s="118">
        <v>0</v>
      </c>
      <c r="O125" s="118">
        <v>0</v>
      </c>
      <c r="P125" s="118">
        <v>0</v>
      </c>
      <c r="Q125" s="118">
        <v>0</v>
      </c>
      <c r="R125" s="118">
        <v>0</v>
      </c>
      <c r="S125" s="118">
        <v>0</v>
      </c>
      <c r="T125" s="118">
        <v>0</v>
      </c>
      <c r="U125" s="118">
        <v>0</v>
      </c>
      <c r="V125" s="118">
        <v>0</v>
      </c>
      <c r="W125" s="118">
        <v>0</v>
      </c>
      <c r="X125" s="118">
        <v>0</v>
      </c>
      <c r="Y125" s="130">
        <f t="shared" si="9"/>
        <v>0</v>
      </c>
      <c r="Z125" s="113">
        <f t="shared" si="16"/>
        <v>0</v>
      </c>
    </row>
    <row r="126" spans="1:26" hidden="1" x14ac:dyDescent="0.25">
      <c r="A126" s="107"/>
      <c r="B126" s="107"/>
      <c r="C126" s="107"/>
      <c r="D126" s="107"/>
      <c r="E126" s="107"/>
      <c r="F126" s="132" t="s">
        <v>93</v>
      </c>
      <c r="G126" s="107"/>
      <c r="H126" s="118">
        <v>0</v>
      </c>
      <c r="I126" s="118">
        <v>0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18">
        <v>0</v>
      </c>
      <c r="Q126" s="118">
        <v>0</v>
      </c>
      <c r="R126" s="118">
        <v>0</v>
      </c>
      <c r="S126" s="118">
        <v>0</v>
      </c>
      <c r="T126" s="118">
        <v>0</v>
      </c>
      <c r="U126" s="118">
        <v>0</v>
      </c>
      <c r="V126" s="118">
        <v>0</v>
      </c>
      <c r="W126" s="118">
        <v>0</v>
      </c>
      <c r="X126" s="118">
        <v>0</v>
      </c>
      <c r="Y126" s="130">
        <f t="shared" si="9"/>
        <v>0</v>
      </c>
      <c r="Z126" s="113">
        <f t="shared" si="16"/>
        <v>0</v>
      </c>
    </row>
    <row r="127" spans="1:26" hidden="1" x14ac:dyDescent="0.25">
      <c r="A127" s="107"/>
      <c r="B127" s="107"/>
      <c r="C127" s="107"/>
      <c r="D127" s="107"/>
      <c r="E127" s="107"/>
      <c r="F127" s="132" t="s">
        <v>94</v>
      </c>
      <c r="G127" s="107"/>
      <c r="H127" s="118">
        <v>0</v>
      </c>
      <c r="I127" s="118">
        <v>0</v>
      </c>
      <c r="J127" s="118">
        <v>0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118">
        <v>0</v>
      </c>
      <c r="Q127" s="118">
        <v>0</v>
      </c>
      <c r="R127" s="118">
        <v>0</v>
      </c>
      <c r="S127" s="118">
        <v>0</v>
      </c>
      <c r="T127" s="118">
        <v>0</v>
      </c>
      <c r="U127" s="118">
        <v>0</v>
      </c>
      <c r="V127" s="118">
        <v>0</v>
      </c>
      <c r="W127" s="118">
        <v>0</v>
      </c>
      <c r="X127" s="118">
        <v>0</v>
      </c>
      <c r="Y127" s="130">
        <f t="shared" si="9"/>
        <v>0</v>
      </c>
      <c r="Z127" s="113">
        <f t="shared" si="16"/>
        <v>0</v>
      </c>
    </row>
    <row r="128" spans="1:26" hidden="1" x14ac:dyDescent="0.25">
      <c r="A128" s="107"/>
      <c r="B128" s="107"/>
      <c r="C128" s="107"/>
      <c r="D128" s="107"/>
      <c r="E128" s="107"/>
      <c r="F128" s="132" t="s">
        <v>95</v>
      </c>
      <c r="G128" s="107"/>
      <c r="H128" s="118">
        <v>0</v>
      </c>
      <c r="I128" s="118">
        <v>0</v>
      </c>
      <c r="J128" s="118">
        <v>0</v>
      </c>
      <c r="K128" s="118">
        <v>0</v>
      </c>
      <c r="L128" s="118">
        <v>0</v>
      </c>
      <c r="M128" s="118">
        <v>0</v>
      </c>
      <c r="N128" s="118">
        <v>0</v>
      </c>
      <c r="O128" s="118">
        <v>0</v>
      </c>
      <c r="P128" s="118">
        <v>0</v>
      </c>
      <c r="Q128" s="118">
        <v>0</v>
      </c>
      <c r="R128" s="118">
        <v>0</v>
      </c>
      <c r="S128" s="118">
        <v>0</v>
      </c>
      <c r="T128" s="118">
        <v>0</v>
      </c>
      <c r="U128" s="118">
        <v>0</v>
      </c>
      <c r="V128" s="118">
        <v>0</v>
      </c>
      <c r="W128" s="118">
        <v>0</v>
      </c>
      <c r="X128" s="118">
        <v>0</v>
      </c>
      <c r="Y128" s="130">
        <f t="shared" si="9"/>
        <v>0</v>
      </c>
      <c r="Z128" s="113">
        <f t="shared" si="16"/>
        <v>0</v>
      </c>
    </row>
    <row r="129" spans="1:26" hidden="1" x14ac:dyDescent="0.25">
      <c r="A129" s="107"/>
      <c r="B129" s="107"/>
      <c r="C129" s="107"/>
      <c r="D129" s="107"/>
      <c r="E129" s="107"/>
      <c r="F129" s="132" t="s">
        <v>96</v>
      </c>
      <c r="G129" s="107"/>
      <c r="H129" s="118">
        <v>0</v>
      </c>
      <c r="I129" s="118">
        <v>0</v>
      </c>
      <c r="J129" s="118">
        <v>0</v>
      </c>
      <c r="K129" s="118">
        <v>0</v>
      </c>
      <c r="L129" s="118">
        <v>0</v>
      </c>
      <c r="M129" s="118">
        <v>0</v>
      </c>
      <c r="N129" s="118">
        <v>0</v>
      </c>
      <c r="O129" s="118">
        <v>0</v>
      </c>
      <c r="P129" s="118">
        <v>0</v>
      </c>
      <c r="Q129" s="118">
        <v>0</v>
      </c>
      <c r="R129" s="118">
        <v>0</v>
      </c>
      <c r="S129" s="118">
        <v>0</v>
      </c>
      <c r="T129" s="118">
        <v>0</v>
      </c>
      <c r="U129" s="118">
        <v>0</v>
      </c>
      <c r="V129" s="118">
        <v>0</v>
      </c>
      <c r="W129" s="118">
        <v>0</v>
      </c>
      <c r="X129" s="118">
        <v>0</v>
      </c>
      <c r="Y129" s="130">
        <f t="shared" si="9"/>
        <v>0</v>
      </c>
      <c r="Z129" s="113">
        <f t="shared" si="16"/>
        <v>0</v>
      </c>
    </row>
    <row r="130" spans="1:26" hidden="1" x14ac:dyDescent="0.25">
      <c r="A130" s="107"/>
      <c r="B130" s="107"/>
      <c r="C130" s="107"/>
      <c r="D130" s="107"/>
      <c r="E130" s="107"/>
      <c r="F130" s="132" t="s">
        <v>97</v>
      </c>
      <c r="G130" s="107"/>
      <c r="H130" s="118">
        <v>0</v>
      </c>
      <c r="I130" s="118">
        <v>0</v>
      </c>
      <c r="J130" s="118">
        <v>0</v>
      </c>
      <c r="K130" s="118">
        <v>0</v>
      </c>
      <c r="L130" s="118">
        <v>0</v>
      </c>
      <c r="M130" s="118">
        <v>0</v>
      </c>
      <c r="N130" s="118">
        <v>0</v>
      </c>
      <c r="O130" s="118">
        <v>0</v>
      </c>
      <c r="P130" s="118">
        <v>0</v>
      </c>
      <c r="Q130" s="118">
        <v>0</v>
      </c>
      <c r="R130" s="118">
        <v>0</v>
      </c>
      <c r="S130" s="118">
        <v>0</v>
      </c>
      <c r="T130" s="118">
        <v>0</v>
      </c>
      <c r="U130" s="118">
        <v>0</v>
      </c>
      <c r="V130" s="118">
        <v>0</v>
      </c>
      <c r="W130" s="118">
        <v>0</v>
      </c>
      <c r="X130" s="118">
        <v>0</v>
      </c>
      <c r="Y130" s="130">
        <f t="shared" si="9"/>
        <v>0</v>
      </c>
      <c r="Z130" s="113">
        <f t="shared" si="16"/>
        <v>0</v>
      </c>
    </row>
    <row r="131" spans="1:26" hidden="1" x14ac:dyDescent="0.25">
      <c r="A131" s="107"/>
      <c r="B131" s="107"/>
      <c r="C131" s="107"/>
      <c r="D131" s="107"/>
      <c r="E131" s="107"/>
      <c r="F131" s="132" t="s">
        <v>98</v>
      </c>
      <c r="G131" s="107"/>
      <c r="H131" s="118">
        <v>0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18">
        <v>0</v>
      </c>
      <c r="Q131" s="118">
        <v>0</v>
      </c>
      <c r="R131" s="118">
        <v>0</v>
      </c>
      <c r="S131" s="118">
        <v>0</v>
      </c>
      <c r="T131" s="118">
        <v>0</v>
      </c>
      <c r="U131" s="118">
        <v>0</v>
      </c>
      <c r="V131" s="118">
        <v>0</v>
      </c>
      <c r="W131" s="118">
        <v>0</v>
      </c>
      <c r="X131" s="118">
        <v>0</v>
      </c>
      <c r="Y131" s="130">
        <f t="shared" si="9"/>
        <v>0</v>
      </c>
      <c r="Z131" s="113">
        <f t="shared" si="16"/>
        <v>0</v>
      </c>
    </row>
    <row r="132" spans="1:26" hidden="1" x14ac:dyDescent="0.25">
      <c r="A132" s="107"/>
      <c r="B132" s="107"/>
      <c r="C132" s="107"/>
      <c r="D132" s="107"/>
      <c r="E132" s="107"/>
      <c r="F132" s="132" t="s">
        <v>99</v>
      </c>
      <c r="G132" s="107"/>
      <c r="H132" s="118">
        <v>0</v>
      </c>
      <c r="I132" s="118">
        <v>0</v>
      </c>
      <c r="J132" s="118">
        <v>0</v>
      </c>
      <c r="K132" s="118">
        <v>0</v>
      </c>
      <c r="L132" s="118">
        <v>0</v>
      </c>
      <c r="M132" s="118">
        <v>0</v>
      </c>
      <c r="N132" s="118">
        <v>0</v>
      </c>
      <c r="O132" s="118">
        <v>0</v>
      </c>
      <c r="P132" s="118">
        <v>0</v>
      </c>
      <c r="Q132" s="118">
        <v>0</v>
      </c>
      <c r="R132" s="118">
        <v>0</v>
      </c>
      <c r="S132" s="118">
        <v>0</v>
      </c>
      <c r="T132" s="118">
        <v>0</v>
      </c>
      <c r="U132" s="118">
        <v>0</v>
      </c>
      <c r="V132" s="118">
        <v>0</v>
      </c>
      <c r="W132" s="118">
        <v>0</v>
      </c>
      <c r="X132" s="118">
        <v>0</v>
      </c>
      <c r="Y132" s="130">
        <f t="shared" si="9"/>
        <v>0</v>
      </c>
      <c r="Z132" s="113">
        <f t="shared" si="16"/>
        <v>0</v>
      </c>
    </row>
    <row r="133" spans="1:26" hidden="1" x14ac:dyDescent="0.25">
      <c r="A133" s="107"/>
      <c r="B133" s="107"/>
      <c r="C133" s="107"/>
      <c r="D133" s="107"/>
      <c r="E133" s="107"/>
      <c r="F133" s="132" t="s">
        <v>100</v>
      </c>
      <c r="G133" s="107"/>
      <c r="H133" s="118">
        <v>0</v>
      </c>
      <c r="I133" s="118">
        <v>0</v>
      </c>
      <c r="J133" s="118">
        <v>0</v>
      </c>
      <c r="K133" s="118">
        <v>0</v>
      </c>
      <c r="L133" s="118">
        <v>0</v>
      </c>
      <c r="M133" s="118">
        <v>0</v>
      </c>
      <c r="N133" s="118">
        <v>0</v>
      </c>
      <c r="O133" s="118">
        <v>0</v>
      </c>
      <c r="P133" s="118">
        <v>0</v>
      </c>
      <c r="Q133" s="118">
        <v>0</v>
      </c>
      <c r="R133" s="118">
        <v>0</v>
      </c>
      <c r="S133" s="118">
        <v>0</v>
      </c>
      <c r="T133" s="118">
        <v>0</v>
      </c>
      <c r="U133" s="118">
        <v>0</v>
      </c>
      <c r="V133" s="118">
        <v>0</v>
      </c>
      <c r="W133" s="118">
        <v>0</v>
      </c>
      <c r="X133" s="118">
        <v>0</v>
      </c>
      <c r="Y133" s="130">
        <f t="shared" si="9"/>
        <v>0</v>
      </c>
      <c r="Z133" s="113">
        <f t="shared" si="16"/>
        <v>0</v>
      </c>
    </row>
    <row r="134" spans="1:26" hidden="1" x14ac:dyDescent="0.25">
      <c r="A134" s="107"/>
      <c r="B134" s="107"/>
      <c r="C134" s="107"/>
      <c r="D134" s="107"/>
      <c r="E134" s="107"/>
      <c r="F134" s="132" t="s">
        <v>101</v>
      </c>
      <c r="G134" s="107"/>
      <c r="H134" s="118">
        <v>0</v>
      </c>
      <c r="I134" s="118">
        <v>0</v>
      </c>
      <c r="J134" s="118">
        <v>0</v>
      </c>
      <c r="K134" s="118">
        <v>0</v>
      </c>
      <c r="L134" s="118">
        <v>0</v>
      </c>
      <c r="M134" s="118">
        <v>0</v>
      </c>
      <c r="N134" s="118">
        <v>0</v>
      </c>
      <c r="O134" s="118">
        <v>0</v>
      </c>
      <c r="P134" s="118">
        <v>0</v>
      </c>
      <c r="Q134" s="118">
        <v>0</v>
      </c>
      <c r="R134" s="118">
        <v>0</v>
      </c>
      <c r="S134" s="118">
        <v>0</v>
      </c>
      <c r="T134" s="118">
        <v>0</v>
      </c>
      <c r="U134" s="118">
        <v>0</v>
      </c>
      <c r="V134" s="118">
        <v>0</v>
      </c>
      <c r="W134" s="118">
        <v>0</v>
      </c>
      <c r="X134" s="118">
        <v>0</v>
      </c>
      <c r="Y134" s="130">
        <f t="shared" si="9"/>
        <v>0</v>
      </c>
      <c r="Z134" s="113">
        <f t="shared" si="16"/>
        <v>0</v>
      </c>
    </row>
    <row r="135" spans="1:26" hidden="1" x14ac:dyDescent="0.25">
      <c r="A135" s="107"/>
      <c r="B135" s="107"/>
      <c r="C135" s="107"/>
      <c r="D135" s="107"/>
      <c r="E135" s="107"/>
      <c r="F135" s="132" t="s">
        <v>102</v>
      </c>
      <c r="G135" s="107"/>
      <c r="H135" s="118">
        <v>0</v>
      </c>
      <c r="I135" s="118">
        <v>0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18">
        <v>0</v>
      </c>
      <c r="Q135" s="118">
        <v>0</v>
      </c>
      <c r="R135" s="118">
        <v>0</v>
      </c>
      <c r="S135" s="118">
        <v>0</v>
      </c>
      <c r="T135" s="118">
        <v>0</v>
      </c>
      <c r="U135" s="118">
        <v>0</v>
      </c>
      <c r="V135" s="118">
        <v>0</v>
      </c>
      <c r="W135" s="118">
        <v>0</v>
      </c>
      <c r="X135" s="118">
        <v>0</v>
      </c>
      <c r="Y135" s="130">
        <f t="shared" ref="Y135:Y154" si="17">SUM(M135:X135)</f>
        <v>0</v>
      </c>
      <c r="Z135" s="113">
        <f t="shared" si="16"/>
        <v>0</v>
      </c>
    </row>
    <row r="136" spans="1:26" hidden="1" x14ac:dyDescent="0.25">
      <c r="A136" s="107"/>
      <c r="B136" s="107"/>
      <c r="C136" s="107"/>
      <c r="D136" s="107"/>
      <c r="E136" s="107"/>
      <c r="F136" s="132" t="s">
        <v>103</v>
      </c>
      <c r="G136" s="107"/>
      <c r="H136" s="118">
        <v>0</v>
      </c>
      <c r="I136" s="118">
        <v>0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18">
        <v>0</v>
      </c>
      <c r="Q136" s="118">
        <v>0</v>
      </c>
      <c r="R136" s="118">
        <v>0</v>
      </c>
      <c r="S136" s="118">
        <v>0</v>
      </c>
      <c r="T136" s="118">
        <v>0</v>
      </c>
      <c r="U136" s="118">
        <v>0</v>
      </c>
      <c r="V136" s="118">
        <v>0</v>
      </c>
      <c r="W136" s="118">
        <v>0</v>
      </c>
      <c r="X136" s="118">
        <v>0</v>
      </c>
      <c r="Y136" s="130">
        <f t="shared" si="17"/>
        <v>0</v>
      </c>
      <c r="Z136" s="113">
        <f t="shared" si="16"/>
        <v>0</v>
      </c>
    </row>
    <row r="137" spans="1:26" hidden="1" x14ac:dyDescent="0.25">
      <c r="A137" s="107"/>
      <c r="B137" s="107"/>
      <c r="C137" s="107"/>
      <c r="D137" s="107"/>
      <c r="E137" s="107"/>
      <c r="F137" s="132" t="s">
        <v>104</v>
      </c>
      <c r="G137" s="107"/>
      <c r="H137" s="118">
        <v>0</v>
      </c>
      <c r="I137" s="118">
        <v>0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18">
        <v>0</v>
      </c>
      <c r="Q137" s="118">
        <v>0</v>
      </c>
      <c r="R137" s="118">
        <v>0</v>
      </c>
      <c r="S137" s="118">
        <v>0</v>
      </c>
      <c r="T137" s="118">
        <v>0</v>
      </c>
      <c r="U137" s="118">
        <v>0</v>
      </c>
      <c r="V137" s="118">
        <v>0</v>
      </c>
      <c r="W137" s="118">
        <v>0</v>
      </c>
      <c r="X137" s="118">
        <v>0</v>
      </c>
      <c r="Y137" s="130">
        <f t="shared" si="17"/>
        <v>0</v>
      </c>
      <c r="Z137" s="113">
        <f t="shared" si="16"/>
        <v>0</v>
      </c>
    </row>
    <row r="138" spans="1:26" ht="15.75" hidden="1" thickBot="1" x14ac:dyDescent="0.3">
      <c r="A138" s="107"/>
      <c r="B138" s="107"/>
      <c r="C138" s="107"/>
      <c r="D138" s="107"/>
      <c r="E138" s="107"/>
      <c r="F138" s="132" t="s">
        <v>105</v>
      </c>
      <c r="G138" s="107"/>
      <c r="H138" s="118">
        <v>0</v>
      </c>
      <c r="I138" s="118">
        <v>0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18">
        <v>0</v>
      </c>
      <c r="Q138" s="118">
        <v>0</v>
      </c>
      <c r="R138" s="118">
        <v>0</v>
      </c>
      <c r="S138" s="118">
        <v>0</v>
      </c>
      <c r="T138" s="118">
        <v>0</v>
      </c>
      <c r="U138" s="118">
        <v>0</v>
      </c>
      <c r="V138" s="118">
        <v>0</v>
      </c>
      <c r="W138" s="118">
        <v>0</v>
      </c>
      <c r="X138" s="118">
        <v>0</v>
      </c>
      <c r="Y138" s="130">
        <f t="shared" si="17"/>
        <v>0</v>
      </c>
      <c r="Z138" s="113">
        <f t="shared" si="16"/>
        <v>0</v>
      </c>
    </row>
    <row r="139" spans="1:26" ht="15.75" hidden="1" thickBot="1" x14ac:dyDescent="0.3">
      <c r="A139" s="107"/>
      <c r="B139" s="107"/>
      <c r="C139" s="107"/>
      <c r="D139" s="107"/>
      <c r="E139" s="107" t="s">
        <v>106</v>
      </c>
      <c r="F139" s="107"/>
      <c r="G139" s="107"/>
      <c r="H139" s="131">
        <f>ROUND(SUM(H118:H138),5)</f>
        <v>0</v>
      </c>
      <c r="I139" s="131">
        <f t="shared" ref="I139:Y139" si="18">ROUND(SUM(I118:I138),5)</f>
        <v>0</v>
      </c>
      <c r="J139" s="131">
        <f t="shared" si="18"/>
        <v>0</v>
      </c>
      <c r="K139" s="131">
        <f t="shared" si="18"/>
        <v>0</v>
      </c>
      <c r="L139" s="131">
        <f t="shared" si="18"/>
        <v>0</v>
      </c>
      <c r="M139" s="131">
        <f t="shared" si="18"/>
        <v>0</v>
      </c>
      <c r="N139" s="131">
        <f t="shared" si="18"/>
        <v>0</v>
      </c>
      <c r="O139" s="131">
        <f t="shared" si="18"/>
        <v>0</v>
      </c>
      <c r="P139" s="131">
        <f t="shared" si="18"/>
        <v>0</v>
      </c>
      <c r="Q139" s="131">
        <f t="shared" si="18"/>
        <v>0</v>
      </c>
      <c r="R139" s="131">
        <f t="shared" si="18"/>
        <v>0</v>
      </c>
      <c r="S139" s="131">
        <f t="shared" si="18"/>
        <v>0</v>
      </c>
      <c r="T139" s="131">
        <f t="shared" si="18"/>
        <v>0</v>
      </c>
      <c r="U139" s="131">
        <f t="shared" si="18"/>
        <v>0</v>
      </c>
      <c r="V139" s="131">
        <f t="shared" si="18"/>
        <v>0</v>
      </c>
      <c r="W139" s="131">
        <f t="shared" si="18"/>
        <v>0</v>
      </c>
      <c r="X139" s="131">
        <f t="shared" si="18"/>
        <v>0</v>
      </c>
      <c r="Y139" s="131">
        <f t="shared" si="18"/>
        <v>0</v>
      </c>
      <c r="Z139" s="113">
        <f t="shared" si="16"/>
        <v>0</v>
      </c>
    </row>
    <row r="140" spans="1:26" hidden="1" x14ac:dyDescent="0.25">
      <c r="A140" s="107"/>
      <c r="B140" s="107"/>
      <c r="C140" s="107"/>
      <c r="D140" s="107" t="s">
        <v>164</v>
      </c>
      <c r="E140" s="107"/>
      <c r="F140" s="107"/>
      <c r="G140" s="107"/>
      <c r="H140" s="118">
        <f>ROUND(H28+H37+H61+H83+H116+H139,5)</f>
        <v>28550</v>
      </c>
      <c r="I140" s="118">
        <f t="shared" ref="I140:X140" si="19">ROUND(I28+I37+I61+I83+I116+I139,5)</f>
        <v>94550</v>
      </c>
      <c r="J140" s="118">
        <f t="shared" si="19"/>
        <v>16800</v>
      </c>
      <c r="K140" s="118">
        <f t="shared" si="19"/>
        <v>92110</v>
      </c>
      <c r="L140" s="118">
        <f t="shared" si="19"/>
        <v>29085</v>
      </c>
      <c r="M140" s="118">
        <f t="shared" si="19"/>
        <v>100</v>
      </c>
      <c r="N140" s="118">
        <f t="shared" si="19"/>
        <v>100</v>
      </c>
      <c r="O140" s="118">
        <f t="shared" si="19"/>
        <v>100</v>
      </c>
      <c r="P140" s="118">
        <f t="shared" si="19"/>
        <v>500</v>
      </c>
      <c r="Q140" s="118">
        <f t="shared" si="19"/>
        <v>12100</v>
      </c>
      <c r="R140" s="118">
        <f t="shared" si="19"/>
        <v>12500</v>
      </c>
      <c r="S140" s="118">
        <f t="shared" si="19"/>
        <v>100</v>
      </c>
      <c r="T140" s="118">
        <f t="shared" si="19"/>
        <v>500</v>
      </c>
      <c r="U140" s="118">
        <f t="shared" si="19"/>
        <v>100</v>
      </c>
      <c r="V140" s="118">
        <f t="shared" si="19"/>
        <v>100</v>
      </c>
      <c r="W140" s="118">
        <f t="shared" si="19"/>
        <v>2250</v>
      </c>
      <c r="X140" s="118">
        <f t="shared" si="19"/>
        <v>100</v>
      </c>
      <c r="Y140" s="130">
        <f t="shared" si="17"/>
        <v>28550</v>
      </c>
      <c r="Z140" s="113">
        <f t="shared" si="16"/>
        <v>0</v>
      </c>
    </row>
    <row r="141" spans="1:26" x14ac:dyDescent="0.25">
      <c r="A141" s="107"/>
      <c r="B141" s="107"/>
      <c r="C141" s="107"/>
      <c r="D141" s="107" t="s">
        <v>128</v>
      </c>
      <c r="E141" s="107"/>
      <c r="F141" s="107"/>
      <c r="G141" s="107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30"/>
    </row>
    <row r="142" spans="1:26" x14ac:dyDescent="0.25">
      <c r="A142" s="107"/>
      <c r="B142" s="107"/>
      <c r="C142" s="107"/>
      <c r="D142" s="107"/>
      <c r="F142" s="107" t="s">
        <v>123</v>
      </c>
      <c r="G142" s="107"/>
      <c r="H142" s="118">
        <v>0</v>
      </c>
      <c r="I142" s="118">
        <v>0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18">
        <v>0</v>
      </c>
      <c r="Q142" s="118">
        <v>0</v>
      </c>
      <c r="R142" s="118">
        <v>0</v>
      </c>
      <c r="S142" s="118">
        <v>0</v>
      </c>
      <c r="T142" s="118">
        <v>0</v>
      </c>
      <c r="U142" s="118">
        <v>0</v>
      </c>
      <c r="V142" s="118">
        <v>0</v>
      </c>
      <c r="W142" s="118">
        <v>0</v>
      </c>
      <c r="X142" s="118">
        <v>0</v>
      </c>
      <c r="Y142" s="130">
        <f t="shared" si="17"/>
        <v>0</v>
      </c>
      <c r="Z142" s="113">
        <f t="shared" si="16"/>
        <v>0</v>
      </c>
    </row>
    <row r="143" spans="1:26" x14ac:dyDescent="0.25">
      <c r="A143" s="107"/>
      <c r="B143" s="107"/>
      <c r="C143" s="107"/>
      <c r="D143" s="107"/>
      <c r="F143" s="107" t="s">
        <v>124</v>
      </c>
      <c r="G143" s="107"/>
      <c r="H143" s="118">
        <f>Revenue!M$17*'Master Input Tab'!$B$8*'Master Input Tab'!$B$9</f>
        <v>402.67019099999993</v>
      </c>
      <c r="I143" s="118">
        <f>Revenue!N$17*'Master Input Tab'!$B$8*'Master Input Tab'!$B$9</f>
        <v>408.71024386499988</v>
      </c>
      <c r="J143" s="118">
        <f>Revenue!O$17*'Master Input Tab'!$B$8*'Master Input Tab'!$B$9</f>
        <v>414.84089752297484</v>
      </c>
      <c r="K143" s="118">
        <f>Revenue!P$17*'Master Input Tab'!$B$8*'Master Input Tab'!$B$9</f>
        <v>421.06351098581945</v>
      </c>
      <c r="L143" s="118">
        <f>Revenue!Q$17*'Master Input Tab'!$B$8*'Master Input Tab'!$B$9</f>
        <v>427.37946365060674</v>
      </c>
      <c r="M143" s="118">
        <f>(+$V$19*'Master Input Tab'!$B$8*'Master Input Tab'!$B$9)/12</f>
        <v>33.555849249999994</v>
      </c>
      <c r="N143" s="118">
        <f>(+$V$19*'Master Input Tab'!$B$8*'Master Input Tab'!$B$9)/12</f>
        <v>33.555849249999994</v>
      </c>
      <c r="O143" s="118">
        <f>(+$V$19*'Master Input Tab'!$B$8*'Master Input Tab'!$B$9)/12</f>
        <v>33.555849249999994</v>
      </c>
      <c r="P143" s="118">
        <f>(+$V$19*'Master Input Tab'!$B$8*'Master Input Tab'!$B$9)/12</f>
        <v>33.555849249999994</v>
      </c>
      <c r="Q143" s="118">
        <f>(+$V$19*'Master Input Tab'!$B$8*'Master Input Tab'!$B$9)/12</f>
        <v>33.555849249999994</v>
      </c>
      <c r="R143" s="118">
        <f>(+$V$19*'Master Input Tab'!$B$8*'Master Input Tab'!$B$9)/12</f>
        <v>33.555849249999994</v>
      </c>
      <c r="S143" s="118">
        <f>(+$V$19*'Master Input Tab'!$B$8*'Master Input Tab'!$B$9)/12</f>
        <v>33.555849249999994</v>
      </c>
      <c r="T143" s="118">
        <f>(+$V$19*'Master Input Tab'!$B$8*'Master Input Tab'!$B$9)/12</f>
        <v>33.555849249999994</v>
      </c>
      <c r="U143" s="118">
        <f>(+$V$19*'Master Input Tab'!$B$8*'Master Input Tab'!$B$9)/12</f>
        <v>33.555849249999994</v>
      </c>
      <c r="V143" s="118">
        <f>(+$V$19*'Master Input Tab'!$B$8*'Master Input Tab'!$B$9)/12</f>
        <v>33.555849249999994</v>
      </c>
      <c r="W143" s="118">
        <f>(+$V$19*'Master Input Tab'!$B$8*'Master Input Tab'!$B$9)/12</f>
        <v>33.555849249999994</v>
      </c>
      <c r="X143" s="118">
        <f>(+$V$19*'Master Input Tab'!$B$8*'Master Input Tab'!$B$9)/12</f>
        <v>33.555849249999994</v>
      </c>
      <c r="Y143" s="130">
        <f t="shared" si="17"/>
        <v>402.67019099999993</v>
      </c>
      <c r="Z143" s="113">
        <f t="shared" si="16"/>
        <v>0</v>
      </c>
    </row>
    <row r="144" spans="1:26" x14ac:dyDescent="0.25">
      <c r="A144" s="107"/>
      <c r="B144" s="107"/>
      <c r="C144" s="107"/>
      <c r="D144" s="107"/>
      <c r="F144" s="107" t="s">
        <v>125</v>
      </c>
      <c r="G144" s="107"/>
      <c r="H144" s="118">
        <v>0</v>
      </c>
      <c r="I144" s="118">
        <v>0</v>
      </c>
      <c r="J144" s="118">
        <v>0</v>
      </c>
      <c r="K144" s="118">
        <v>0</v>
      </c>
      <c r="L144" s="118">
        <v>0</v>
      </c>
      <c r="M144" s="118">
        <v>0</v>
      </c>
      <c r="N144" s="118">
        <v>0</v>
      </c>
      <c r="O144" s="118">
        <v>0</v>
      </c>
      <c r="P144" s="118">
        <v>0</v>
      </c>
      <c r="Q144" s="118">
        <v>0</v>
      </c>
      <c r="R144" s="118">
        <v>0</v>
      </c>
      <c r="S144" s="118">
        <v>0</v>
      </c>
      <c r="T144" s="118">
        <v>0</v>
      </c>
      <c r="U144" s="118">
        <v>0</v>
      </c>
      <c r="V144" s="118">
        <v>0</v>
      </c>
      <c r="W144" s="118">
        <v>0</v>
      </c>
      <c r="X144" s="118">
        <v>0</v>
      </c>
      <c r="Y144" s="130">
        <f t="shared" si="17"/>
        <v>0</v>
      </c>
      <c r="Z144" s="113">
        <f t="shared" si="16"/>
        <v>0</v>
      </c>
    </row>
    <row r="145" spans="1:26" x14ac:dyDescent="0.25">
      <c r="A145" s="107"/>
      <c r="B145" s="107"/>
      <c r="C145" s="107"/>
      <c r="D145" s="107"/>
      <c r="F145" s="107" t="s">
        <v>126</v>
      </c>
      <c r="G145" s="107"/>
      <c r="H145" s="118">
        <v>0</v>
      </c>
      <c r="I145" s="118">
        <v>0</v>
      </c>
      <c r="J145" s="118">
        <v>0</v>
      </c>
      <c r="K145" s="118">
        <v>0</v>
      </c>
      <c r="L145" s="118">
        <v>0</v>
      </c>
      <c r="M145" s="118">
        <v>0</v>
      </c>
      <c r="N145" s="118">
        <v>0</v>
      </c>
      <c r="O145" s="118">
        <v>0</v>
      </c>
      <c r="P145" s="118">
        <v>0</v>
      </c>
      <c r="Q145" s="118">
        <v>0</v>
      </c>
      <c r="R145" s="118">
        <v>0</v>
      </c>
      <c r="S145" s="118">
        <v>0</v>
      </c>
      <c r="T145" s="118">
        <v>0</v>
      </c>
      <c r="U145" s="118">
        <v>0</v>
      </c>
      <c r="V145" s="118">
        <v>0</v>
      </c>
      <c r="W145" s="118">
        <v>0</v>
      </c>
      <c r="X145" s="118">
        <v>0</v>
      </c>
      <c r="Y145" s="130">
        <f t="shared" si="17"/>
        <v>0</v>
      </c>
      <c r="Z145" s="113">
        <f t="shared" si="16"/>
        <v>0</v>
      </c>
    </row>
    <row r="146" spans="1:26" ht="15.75" thickBot="1" x14ac:dyDescent="0.3">
      <c r="A146" s="107"/>
      <c r="B146" s="107"/>
      <c r="C146" s="107"/>
      <c r="D146" s="107"/>
      <c r="F146" s="107" t="s">
        <v>127</v>
      </c>
      <c r="G146" s="107"/>
      <c r="H146" s="134">
        <f>Revenue!M$17*'Master Input Tab'!$B$8</f>
        <v>1610.6807639999997</v>
      </c>
      <c r="I146" s="134">
        <f>Revenue!N$17*'Master Input Tab'!$B$8</f>
        <v>1634.8409754599995</v>
      </c>
      <c r="J146" s="134">
        <f>Revenue!O$17*'Master Input Tab'!$B$8</f>
        <v>1659.3635900918994</v>
      </c>
      <c r="K146" s="134">
        <f>Revenue!P$17*'Master Input Tab'!$B$8</f>
        <v>1684.2540439432778</v>
      </c>
      <c r="L146" s="134">
        <f>Revenue!Q$17*'Master Input Tab'!$B$8</f>
        <v>1709.517854602427</v>
      </c>
      <c r="M146" s="134">
        <f>($V$19*'Master Input Tab'!$B$8)</f>
        <v>1610.6807639999997</v>
      </c>
      <c r="N146" s="134">
        <v>0</v>
      </c>
      <c r="O146" s="134">
        <v>0</v>
      </c>
      <c r="P146" s="134">
        <v>0</v>
      </c>
      <c r="Q146" s="134">
        <v>0</v>
      </c>
      <c r="R146" s="134">
        <v>0</v>
      </c>
      <c r="S146" s="134">
        <v>0</v>
      </c>
      <c r="T146" s="134">
        <v>0</v>
      </c>
      <c r="U146" s="134">
        <v>0</v>
      </c>
      <c r="V146" s="134">
        <v>0</v>
      </c>
      <c r="W146" s="134">
        <v>0</v>
      </c>
      <c r="X146" s="134">
        <v>0</v>
      </c>
      <c r="Y146" s="135">
        <f t="shared" si="17"/>
        <v>1610.6807639999997</v>
      </c>
      <c r="Z146" s="113">
        <f t="shared" si="16"/>
        <v>0</v>
      </c>
    </row>
    <row r="147" spans="1:26" ht="15.75" thickBot="1" x14ac:dyDescent="0.3">
      <c r="A147" s="107"/>
      <c r="B147" s="107"/>
      <c r="C147" s="107"/>
      <c r="D147" s="107" t="s">
        <v>165</v>
      </c>
      <c r="E147" s="107"/>
      <c r="F147" s="107"/>
      <c r="G147" s="107"/>
      <c r="H147" s="118">
        <f>ROUND(SUM(H142:H146),5)</f>
        <v>2013.35096</v>
      </c>
      <c r="I147" s="118">
        <f t="shared" ref="I147:Y147" si="20">ROUND(SUM(I142:I146),5)</f>
        <v>2043.5512200000001</v>
      </c>
      <c r="J147" s="118">
        <f t="shared" si="20"/>
        <v>2074.2044900000001</v>
      </c>
      <c r="K147" s="118">
        <f t="shared" si="20"/>
        <v>2105.3175500000002</v>
      </c>
      <c r="L147" s="118">
        <f t="shared" si="20"/>
        <v>2136.89732</v>
      </c>
      <c r="M147" s="118">
        <f t="shared" si="20"/>
        <v>1644.2366099999999</v>
      </c>
      <c r="N147" s="118">
        <f t="shared" si="20"/>
        <v>33.55585</v>
      </c>
      <c r="O147" s="118">
        <f t="shared" si="20"/>
        <v>33.55585</v>
      </c>
      <c r="P147" s="118">
        <f t="shared" si="20"/>
        <v>33.55585</v>
      </c>
      <c r="Q147" s="118">
        <f t="shared" si="20"/>
        <v>33.55585</v>
      </c>
      <c r="R147" s="118">
        <f t="shared" si="20"/>
        <v>33.55585</v>
      </c>
      <c r="S147" s="118">
        <f t="shared" si="20"/>
        <v>33.55585</v>
      </c>
      <c r="T147" s="118">
        <f t="shared" si="20"/>
        <v>33.55585</v>
      </c>
      <c r="U147" s="118">
        <f t="shared" si="20"/>
        <v>33.55585</v>
      </c>
      <c r="V147" s="118">
        <f t="shared" si="20"/>
        <v>33.55585</v>
      </c>
      <c r="W147" s="118">
        <f t="shared" si="20"/>
        <v>33.55585</v>
      </c>
      <c r="X147" s="118">
        <f t="shared" si="20"/>
        <v>33.55585</v>
      </c>
      <c r="Y147" s="118">
        <f t="shared" si="20"/>
        <v>2013.35096</v>
      </c>
      <c r="Z147" s="113">
        <f t="shared" si="16"/>
        <v>0</v>
      </c>
    </row>
    <row r="148" spans="1:26" hidden="1" x14ac:dyDescent="0.25">
      <c r="A148" s="107"/>
      <c r="B148" s="107"/>
      <c r="C148" s="107"/>
      <c r="D148" s="107" t="s">
        <v>107</v>
      </c>
      <c r="E148" s="107"/>
      <c r="F148" s="107"/>
      <c r="G148" s="107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30"/>
    </row>
    <row r="149" spans="1:26" hidden="1" x14ac:dyDescent="0.25">
      <c r="A149" s="107"/>
      <c r="B149" s="107"/>
      <c r="C149" s="107"/>
      <c r="D149" s="107"/>
      <c r="F149" s="132" t="s">
        <v>108</v>
      </c>
      <c r="G149" s="107"/>
      <c r="H149" s="133">
        <v>0</v>
      </c>
      <c r="I149" s="133">
        <v>0</v>
      </c>
      <c r="J149" s="133">
        <v>0</v>
      </c>
      <c r="K149" s="133">
        <v>0</v>
      </c>
      <c r="L149" s="133">
        <v>0</v>
      </c>
      <c r="M149" s="133">
        <v>0</v>
      </c>
      <c r="N149" s="133">
        <v>0</v>
      </c>
      <c r="O149" s="133">
        <v>0</v>
      </c>
      <c r="P149" s="133">
        <v>0</v>
      </c>
      <c r="Q149" s="133">
        <v>0</v>
      </c>
      <c r="R149" s="133">
        <v>0</v>
      </c>
      <c r="S149" s="133">
        <v>0</v>
      </c>
      <c r="T149" s="133">
        <v>0</v>
      </c>
      <c r="U149" s="133">
        <v>0</v>
      </c>
      <c r="V149" s="133">
        <v>0</v>
      </c>
      <c r="W149" s="133">
        <v>0</v>
      </c>
      <c r="X149" s="133">
        <v>0</v>
      </c>
      <c r="Y149" s="130">
        <f t="shared" si="17"/>
        <v>0</v>
      </c>
      <c r="Z149" s="113">
        <f t="shared" si="16"/>
        <v>0</v>
      </c>
    </row>
    <row r="150" spans="1:26" ht="15.75" hidden="1" thickBot="1" x14ac:dyDescent="0.3">
      <c r="A150" s="107"/>
      <c r="B150" s="107"/>
      <c r="C150" s="107"/>
      <c r="D150" s="107"/>
      <c r="F150" s="132" t="s">
        <v>109</v>
      </c>
      <c r="G150" s="107"/>
      <c r="H150" s="134">
        <v>0</v>
      </c>
      <c r="I150" s="134">
        <v>0</v>
      </c>
      <c r="J150" s="134">
        <v>0</v>
      </c>
      <c r="K150" s="134">
        <v>0</v>
      </c>
      <c r="L150" s="134">
        <v>0</v>
      </c>
      <c r="M150" s="134">
        <v>0</v>
      </c>
      <c r="N150" s="134">
        <v>0</v>
      </c>
      <c r="O150" s="134">
        <v>0</v>
      </c>
      <c r="P150" s="134">
        <v>0</v>
      </c>
      <c r="Q150" s="134">
        <v>0</v>
      </c>
      <c r="R150" s="134">
        <v>0</v>
      </c>
      <c r="S150" s="134">
        <v>0</v>
      </c>
      <c r="T150" s="134">
        <v>0</v>
      </c>
      <c r="U150" s="134">
        <v>0</v>
      </c>
      <c r="V150" s="134">
        <v>0</v>
      </c>
      <c r="W150" s="134">
        <v>0</v>
      </c>
      <c r="X150" s="134">
        <v>0</v>
      </c>
      <c r="Y150" s="135">
        <f t="shared" si="17"/>
        <v>0</v>
      </c>
      <c r="Z150" s="113">
        <f t="shared" si="16"/>
        <v>0</v>
      </c>
    </row>
    <row r="151" spans="1:26" hidden="1" x14ac:dyDescent="0.25">
      <c r="A151" s="107"/>
      <c r="B151" s="107"/>
      <c r="C151" s="107"/>
      <c r="D151" s="107" t="s">
        <v>110</v>
      </c>
      <c r="E151" s="107"/>
      <c r="F151" s="107"/>
      <c r="G151" s="107"/>
      <c r="H151" s="118">
        <f>ROUND(SUM(H149:H150),5)</f>
        <v>0</v>
      </c>
      <c r="I151" s="118">
        <f t="shared" ref="I151:Y151" si="21">ROUND(SUM(I149:I150),5)</f>
        <v>0</v>
      </c>
      <c r="J151" s="118">
        <f t="shared" si="21"/>
        <v>0</v>
      </c>
      <c r="K151" s="118">
        <f t="shared" si="21"/>
        <v>0</v>
      </c>
      <c r="L151" s="118">
        <f t="shared" si="21"/>
        <v>0</v>
      </c>
      <c r="M151" s="118">
        <f t="shared" si="21"/>
        <v>0</v>
      </c>
      <c r="N151" s="118">
        <f t="shared" si="21"/>
        <v>0</v>
      </c>
      <c r="O151" s="118">
        <f t="shared" si="21"/>
        <v>0</v>
      </c>
      <c r="P151" s="118">
        <f t="shared" si="21"/>
        <v>0</v>
      </c>
      <c r="Q151" s="118">
        <f t="shared" si="21"/>
        <v>0</v>
      </c>
      <c r="R151" s="118">
        <f t="shared" si="21"/>
        <v>0</v>
      </c>
      <c r="S151" s="118">
        <f t="shared" si="21"/>
        <v>0</v>
      </c>
      <c r="T151" s="118">
        <f t="shared" si="21"/>
        <v>0</v>
      </c>
      <c r="U151" s="118">
        <f t="shared" si="21"/>
        <v>0</v>
      </c>
      <c r="V151" s="118">
        <f t="shared" si="21"/>
        <v>0</v>
      </c>
      <c r="W151" s="118">
        <f t="shared" si="21"/>
        <v>0</v>
      </c>
      <c r="X151" s="118">
        <f t="shared" si="21"/>
        <v>0</v>
      </c>
      <c r="Y151" s="118">
        <f t="shared" si="21"/>
        <v>0</v>
      </c>
      <c r="Z151" s="113">
        <f t="shared" si="16"/>
        <v>0</v>
      </c>
    </row>
    <row r="152" spans="1:26" hidden="1" x14ac:dyDescent="0.25">
      <c r="A152" s="107"/>
      <c r="B152" s="107"/>
      <c r="C152" s="107"/>
      <c r="E152" s="107"/>
      <c r="F152" s="107" t="s">
        <v>166</v>
      </c>
      <c r="G152" s="107"/>
      <c r="H152" s="118">
        <f>Finance!M9</f>
        <v>0</v>
      </c>
      <c r="I152" s="118">
        <f>Finance!N9</f>
        <v>0</v>
      </c>
      <c r="J152" s="118">
        <f>Finance!O9</f>
        <v>0</v>
      </c>
      <c r="K152" s="118">
        <f>Finance!P9</f>
        <v>0</v>
      </c>
      <c r="L152" s="118">
        <f>Finance!Q9</f>
        <v>0</v>
      </c>
      <c r="M152" s="133">
        <f>Finance!C22</f>
        <v>0</v>
      </c>
      <c r="N152" s="133">
        <f>Finance!D22</f>
        <v>0</v>
      </c>
      <c r="O152" s="133">
        <f>Finance!E22</f>
        <v>0</v>
      </c>
      <c r="P152" s="133">
        <f>Finance!F22</f>
        <v>0</v>
      </c>
      <c r="Q152" s="133">
        <f>Finance!G22</f>
        <v>0</v>
      </c>
      <c r="R152" s="133">
        <f>Finance!H22</f>
        <v>0</v>
      </c>
      <c r="S152" s="133">
        <f>Finance!I22</f>
        <v>0</v>
      </c>
      <c r="T152" s="133">
        <f>Finance!J22</f>
        <v>0</v>
      </c>
      <c r="U152" s="133">
        <f>Finance!K22</f>
        <v>0</v>
      </c>
      <c r="V152" s="133">
        <f>Finance!L22</f>
        <v>0</v>
      </c>
      <c r="W152" s="133">
        <f>Finance!M22</f>
        <v>0</v>
      </c>
      <c r="X152" s="133">
        <f>Finance!N22</f>
        <v>0</v>
      </c>
      <c r="Y152" s="130">
        <f t="shared" si="17"/>
        <v>0</v>
      </c>
      <c r="Z152" s="113">
        <f t="shared" si="16"/>
        <v>0</v>
      </c>
    </row>
    <row r="153" spans="1:26" hidden="1" x14ac:dyDescent="0.25">
      <c r="A153" s="107"/>
      <c r="B153" s="107"/>
      <c r="C153" s="107"/>
      <c r="E153" s="107"/>
      <c r="F153" s="107" t="s">
        <v>266</v>
      </c>
      <c r="G153" s="107"/>
      <c r="H153" s="133">
        <v>0</v>
      </c>
      <c r="I153" s="133">
        <v>0</v>
      </c>
      <c r="J153" s="133">
        <v>0</v>
      </c>
      <c r="K153" s="133">
        <v>0</v>
      </c>
      <c r="L153" s="133">
        <v>0</v>
      </c>
      <c r="M153" s="133">
        <v>0</v>
      </c>
      <c r="N153" s="133">
        <v>0</v>
      </c>
      <c r="O153" s="133">
        <v>0</v>
      </c>
      <c r="P153" s="133">
        <v>0</v>
      </c>
      <c r="Q153" s="133">
        <v>0</v>
      </c>
      <c r="R153" s="133">
        <v>0</v>
      </c>
      <c r="S153" s="133">
        <v>0</v>
      </c>
      <c r="T153" s="133">
        <v>0</v>
      </c>
      <c r="U153" s="133">
        <v>0</v>
      </c>
      <c r="V153" s="133">
        <v>0</v>
      </c>
      <c r="W153" s="133">
        <v>0</v>
      </c>
      <c r="X153" s="133">
        <v>0</v>
      </c>
      <c r="Y153" s="130">
        <f t="shared" ref="Y153" si="22">SUM(M153:X153)</f>
        <v>0</v>
      </c>
      <c r="Z153" s="113">
        <f t="shared" ref="Z153" si="23">ROUND(Y153-H153,0)</f>
        <v>0</v>
      </c>
    </row>
    <row r="154" spans="1:26" ht="15.75" hidden="1" thickBot="1" x14ac:dyDescent="0.3">
      <c r="A154" s="107"/>
      <c r="B154" s="107"/>
      <c r="C154" s="107"/>
      <c r="E154" s="107"/>
      <c r="F154" s="107" t="s">
        <v>167</v>
      </c>
      <c r="G154" s="107"/>
      <c r="H154" s="134">
        <v>0</v>
      </c>
      <c r="I154" s="134">
        <v>0</v>
      </c>
      <c r="J154" s="134">
        <v>0</v>
      </c>
      <c r="K154" s="134">
        <v>0</v>
      </c>
      <c r="L154" s="134">
        <v>0</v>
      </c>
      <c r="M154" s="134">
        <v>0</v>
      </c>
      <c r="N154" s="134">
        <v>0</v>
      </c>
      <c r="O154" s="134">
        <v>0</v>
      </c>
      <c r="P154" s="134">
        <v>0</v>
      </c>
      <c r="Q154" s="134">
        <v>0</v>
      </c>
      <c r="R154" s="134">
        <v>0</v>
      </c>
      <c r="S154" s="134">
        <v>0</v>
      </c>
      <c r="T154" s="134">
        <v>0</v>
      </c>
      <c r="U154" s="134">
        <v>0</v>
      </c>
      <c r="V154" s="134">
        <v>0</v>
      </c>
      <c r="W154" s="134">
        <v>0</v>
      </c>
      <c r="X154" s="134">
        <v>0</v>
      </c>
      <c r="Y154" s="130">
        <f t="shared" si="17"/>
        <v>0</v>
      </c>
      <c r="Z154" s="113">
        <f t="shared" si="16"/>
        <v>0</v>
      </c>
    </row>
    <row r="155" spans="1:26" ht="15.75" thickBot="1" x14ac:dyDescent="0.3">
      <c r="A155" s="107"/>
      <c r="B155" s="107"/>
      <c r="C155" s="107" t="s">
        <v>164</v>
      </c>
      <c r="D155" s="107"/>
      <c r="E155" s="107"/>
      <c r="F155" s="107"/>
      <c r="G155" s="107"/>
      <c r="H155" s="136">
        <f>ROUND(H140+H147+SUM(H151:H154),5)</f>
        <v>30563.35096</v>
      </c>
      <c r="I155" s="136">
        <f t="shared" ref="I155:Y155" si="24">ROUND(I140+I147+SUM(I151:I154),5)</f>
        <v>96593.551219999994</v>
      </c>
      <c r="J155" s="136">
        <f t="shared" si="24"/>
        <v>18874.20449</v>
      </c>
      <c r="K155" s="136">
        <f t="shared" si="24"/>
        <v>94215.317550000007</v>
      </c>
      <c r="L155" s="136">
        <f t="shared" si="24"/>
        <v>31221.89732</v>
      </c>
      <c r="M155" s="136">
        <f t="shared" si="24"/>
        <v>1744.2366099999999</v>
      </c>
      <c r="N155" s="136">
        <f t="shared" si="24"/>
        <v>133.55584999999999</v>
      </c>
      <c r="O155" s="136">
        <f t="shared" si="24"/>
        <v>133.55584999999999</v>
      </c>
      <c r="P155" s="136">
        <f t="shared" si="24"/>
        <v>533.55584999999996</v>
      </c>
      <c r="Q155" s="136">
        <f t="shared" si="24"/>
        <v>12133.555850000001</v>
      </c>
      <c r="R155" s="136">
        <f t="shared" si="24"/>
        <v>12533.555850000001</v>
      </c>
      <c r="S155" s="136">
        <f t="shared" si="24"/>
        <v>133.55584999999999</v>
      </c>
      <c r="T155" s="136">
        <f t="shared" si="24"/>
        <v>533.55584999999996</v>
      </c>
      <c r="U155" s="136">
        <f t="shared" si="24"/>
        <v>133.55584999999999</v>
      </c>
      <c r="V155" s="136">
        <f t="shared" si="24"/>
        <v>133.55584999999999</v>
      </c>
      <c r="W155" s="136">
        <f t="shared" si="24"/>
        <v>2283.5558500000002</v>
      </c>
      <c r="X155" s="136">
        <f t="shared" si="24"/>
        <v>133.55584999999999</v>
      </c>
      <c r="Y155" s="136">
        <f t="shared" si="24"/>
        <v>30563.35096</v>
      </c>
      <c r="Z155" s="113">
        <f t="shared" si="16"/>
        <v>0</v>
      </c>
    </row>
    <row r="156" spans="1:26" ht="15.75" thickBot="1" x14ac:dyDescent="0.3">
      <c r="A156" s="107" t="s">
        <v>168</v>
      </c>
      <c r="B156" s="107"/>
      <c r="C156" s="107"/>
      <c r="D156" s="107"/>
      <c r="E156" s="107"/>
      <c r="F156" s="107"/>
      <c r="G156" s="107"/>
      <c r="H156" s="136">
        <f>ROUND(+H26-H155,5)</f>
        <v>10015.66814</v>
      </c>
      <c r="I156" s="136">
        <f t="shared" ref="I156:Y156" si="25">ROUND(+I26-I155,5)</f>
        <v>-55409.526830000003</v>
      </c>
      <c r="J156" s="136">
        <f t="shared" si="25"/>
        <v>22924.885259999999</v>
      </c>
      <c r="K156" s="136">
        <f t="shared" si="25"/>
        <v>-51792.96645</v>
      </c>
      <c r="L156" s="136">
        <f t="shared" si="25"/>
        <v>11834.04905</v>
      </c>
      <c r="M156" s="136">
        <f t="shared" si="25"/>
        <v>-1718.2366099999999</v>
      </c>
      <c r="N156" s="136">
        <f t="shared" si="25"/>
        <v>-107.55585000000001</v>
      </c>
      <c r="O156" s="136">
        <f t="shared" si="25"/>
        <v>-107.55585000000001</v>
      </c>
      <c r="P156" s="136">
        <f t="shared" si="25"/>
        <v>-507.55585000000002</v>
      </c>
      <c r="Q156" s="136">
        <f t="shared" si="25"/>
        <v>-12107.555850000001</v>
      </c>
      <c r="R156" s="136">
        <f t="shared" si="25"/>
        <v>-12507.555850000001</v>
      </c>
      <c r="S156" s="136">
        <f t="shared" si="25"/>
        <v>-107.55585000000001</v>
      </c>
      <c r="T156" s="136">
        <f t="shared" si="25"/>
        <v>-507.55585000000002</v>
      </c>
      <c r="U156" s="136">
        <f t="shared" si="25"/>
        <v>-107.55585000000001</v>
      </c>
      <c r="V156" s="136">
        <f t="shared" si="25"/>
        <v>40159.463250000001</v>
      </c>
      <c r="W156" s="136">
        <f t="shared" si="25"/>
        <v>-2257.5558500000002</v>
      </c>
      <c r="X156" s="136">
        <f t="shared" si="25"/>
        <v>-107.55585000000001</v>
      </c>
      <c r="Y156" s="136">
        <f t="shared" si="25"/>
        <v>10015.66814</v>
      </c>
      <c r="Z156" s="113">
        <f t="shared" si="16"/>
        <v>0</v>
      </c>
    </row>
    <row r="157" spans="1:26" ht="15.75" thickBot="1" x14ac:dyDescent="0.3">
      <c r="A157" s="107"/>
      <c r="B157" s="107"/>
      <c r="C157" s="107"/>
      <c r="D157" s="107"/>
      <c r="E157" s="107"/>
      <c r="F157" s="107"/>
      <c r="G157" s="107"/>
      <c r="H157" s="137">
        <f>H156</f>
        <v>10015.66814</v>
      </c>
      <c r="I157" s="137">
        <f t="shared" ref="I157:Y157" si="26">I156</f>
        <v>-55409.526830000003</v>
      </c>
      <c r="J157" s="137">
        <f t="shared" si="26"/>
        <v>22924.885259999999</v>
      </c>
      <c r="K157" s="137">
        <f t="shared" si="26"/>
        <v>-51792.96645</v>
      </c>
      <c r="L157" s="137">
        <f t="shared" si="26"/>
        <v>11834.04905</v>
      </c>
      <c r="M157" s="137">
        <f t="shared" si="26"/>
        <v>-1718.2366099999999</v>
      </c>
      <c r="N157" s="137">
        <f t="shared" si="26"/>
        <v>-107.55585000000001</v>
      </c>
      <c r="O157" s="137">
        <f t="shared" si="26"/>
        <v>-107.55585000000001</v>
      </c>
      <c r="P157" s="137">
        <f t="shared" si="26"/>
        <v>-507.55585000000002</v>
      </c>
      <c r="Q157" s="137">
        <f t="shared" si="26"/>
        <v>-12107.555850000001</v>
      </c>
      <c r="R157" s="137">
        <f t="shared" si="26"/>
        <v>-12507.555850000001</v>
      </c>
      <c r="S157" s="137">
        <f t="shared" si="26"/>
        <v>-107.55585000000001</v>
      </c>
      <c r="T157" s="137">
        <f t="shared" si="26"/>
        <v>-507.55585000000002</v>
      </c>
      <c r="U157" s="137">
        <f t="shared" si="26"/>
        <v>-107.55585000000001</v>
      </c>
      <c r="V157" s="137">
        <f t="shared" si="26"/>
        <v>40159.463250000001</v>
      </c>
      <c r="W157" s="137">
        <f t="shared" si="26"/>
        <v>-2257.5558500000002</v>
      </c>
      <c r="X157" s="137">
        <f t="shared" si="26"/>
        <v>-107.55585000000001</v>
      </c>
      <c r="Y157" s="137">
        <f t="shared" si="26"/>
        <v>10015.66814</v>
      </c>
      <c r="Z157" s="113">
        <f t="shared" si="16"/>
        <v>0</v>
      </c>
    </row>
    <row r="158" spans="1:26" ht="15.75" thickTop="1" x14ac:dyDescent="0.25"/>
  </sheetData>
  <sheetProtection password="CC20" sheet="1" objects="1" scenarios="1"/>
  <mergeCells count="2">
    <mergeCell ref="M2:Y2"/>
    <mergeCell ref="H2:L2"/>
  </mergeCells>
  <pageMargins left="0.7" right="0.7" top="0.75" bottom="0.75" header="0.3" footer="0.3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50"/>
  </sheetPr>
  <dimension ref="A1:AA158"/>
  <sheetViews>
    <sheetView zoomScaleNormal="100" workbookViewId="0">
      <pane xSplit="7" ySplit="4" topLeftCell="M5" activePane="bottomRight" state="frozen"/>
      <selection sqref="A1:XFD1048576"/>
      <selection pane="topRight" sqref="A1:XFD1048576"/>
      <selection pane="bottomLeft" sqref="A1:XFD1048576"/>
      <selection pane="bottomRight" activeCell="M5" sqref="M5"/>
    </sheetView>
  </sheetViews>
  <sheetFormatPr defaultRowHeight="15" outlineLevelCol="1" x14ac:dyDescent="0.25"/>
  <cols>
    <col min="1" max="6" width="3" style="119" customWidth="1"/>
    <col min="7" max="7" width="30.140625" style="119" customWidth="1"/>
    <col min="8" max="12" width="15.140625" style="138" hidden="1" customWidth="1" outlineLevel="1"/>
    <col min="13" max="13" width="10.140625" style="109" customWidth="1" collapsed="1"/>
    <col min="14" max="14" width="10.5703125" style="109" customWidth="1"/>
    <col min="15" max="24" width="9.28515625" style="109" bestFit="1" customWidth="1"/>
    <col min="25" max="25" width="12.7109375" style="109" bestFit="1" customWidth="1"/>
    <col min="26" max="26" width="11.28515625" style="113" hidden="1" customWidth="1"/>
    <col min="27" max="16384" width="9.140625" style="94"/>
  </cols>
  <sheetData>
    <row r="1" spans="1:27" ht="15.75" thickBot="1" x14ac:dyDescent="0.3">
      <c r="A1" s="107"/>
      <c r="B1" s="107"/>
      <c r="C1" s="107"/>
      <c r="D1" s="107"/>
      <c r="E1" s="107"/>
      <c r="F1" s="107"/>
      <c r="G1" s="144" t="s">
        <v>308</v>
      </c>
      <c r="H1" s="109"/>
      <c r="I1" s="109"/>
      <c r="J1" s="109"/>
      <c r="K1" s="109"/>
      <c r="L1" s="109"/>
      <c r="N1" s="110"/>
      <c r="O1" s="111"/>
      <c r="Q1" s="110"/>
      <c r="R1" s="112"/>
    </row>
    <row r="2" spans="1:27" ht="16.5" thickBot="1" x14ac:dyDescent="0.35">
      <c r="A2" s="114"/>
      <c r="B2" s="114"/>
      <c r="C2" s="114"/>
      <c r="D2" s="114"/>
      <c r="E2" s="114"/>
      <c r="F2" s="114"/>
      <c r="G2" s="114"/>
      <c r="H2" s="115" t="s">
        <v>239</v>
      </c>
      <c r="I2" s="116"/>
      <c r="J2" s="116"/>
      <c r="K2" s="116"/>
      <c r="L2" s="117"/>
      <c r="M2" s="115" t="str">
        <f>'Master Input Tab'!$B$2&amp;" Budget"</f>
        <v>2014 Budget</v>
      </c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</row>
    <row r="3" spans="1:27" x14ac:dyDescent="0.25">
      <c r="A3" s="107"/>
      <c r="B3" s="107"/>
      <c r="C3" s="107"/>
      <c r="D3" s="107"/>
      <c r="E3" s="107"/>
      <c r="F3" s="107"/>
      <c r="G3" s="107"/>
      <c r="H3" s="118"/>
      <c r="I3" s="118"/>
      <c r="J3" s="118"/>
      <c r="K3" s="118"/>
      <c r="L3" s="118"/>
    </row>
    <row r="4" spans="1:27" ht="15.75" thickBot="1" x14ac:dyDescent="0.3">
      <c r="A4" s="107"/>
      <c r="B4" s="107"/>
      <c r="D4" s="107"/>
      <c r="E4" s="107"/>
      <c r="F4" s="107"/>
      <c r="G4" s="107"/>
      <c r="H4" s="102" t="str">
        <f>'Total Summary'!H4</f>
        <v>2014</v>
      </c>
      <c r="I4" s="102">
        <f>'Total Summary'!I4</f>
        <v>2015</v>
      </c>
      <c r="J4" s="102">
        <f>'Total Summary'!J4</f>
        <v>2016</v>
      </c>
      <c r="K4" s="102">
        <f>'Total Summary'!K4</f>
        <v>2017</v>
      </c>
      <c r="L4" s="102">
        <f>'Total Summary'!L4</f>
        <v>2018</v>
      </c>
      <c r="M4" s="121" t="s">
        <v>120</v>
      </c>
      <c r="N4" s="121" t="s">
        <v>121</v>
      </c>
      <c r="O4" s="121" t="s">
        <v>122</v>
      </c>
      <c r="P4" s="121" t="s">
        <v>129</v>
      </c>
      <c r="Q4" s="121" t="s">
        <v>130</v>
      </c>
      <c r="R4" s="121" t="s">
        <v>31</v>
      </c>
      <c r="S4" s="121" t="s">
        <v>24</v>
      </c>
      <c r="T4" s="121" t="s">
        <v>26</v>
      </c>
      <c r="U4" s="121" t="s">
        <v>27</v>
      </c>
      <c r="V4" s="121" t="s">
        <v>25</v>
      </c>
      <c r="W4" s="121" t="s">
        <v>28</v>
      </c>
      <c r="X4" s="121" t="s">
        <v>29</v>
      </c>
      <c r="Y4" s="122">
        <f>'Master Input Tab'!$B$2</f>
        <v>2014</v>
      </c>
      <c r="Z4" s="123" t="s">
        <v>131</v>
      </c>
      <c r="AA4" s="145"/>
    </row>
    <row r="5" spans="1:27" ht="16.5" customHeight="1" x14ac:dyDescent="0.25">
      <c r="A5" s="107"/>
      <c r="B5" s="107"/>
      <c r="C5" s="107" t="s">
        <v>138</v>
      </c>
      <c r="D5" s="107"/>
      <c r="E5" s="107"/>
      <c r="F5" s="107"/>
      <c r="G5" s="107"/>
      <c r="H5" s="125"/>
      <c r="I5" s="125"/>
      <c r="J5" s="125"/>
      <c r="K5" s="125"/>
      <c r="L5" s="125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7"/>
      <c r="Z5" s="128"/>
    </row>
    <row r="6" spans="1:27" x14ac:dyDescent="0.25">
      <c r="A6" s="107"/>
      <c r="B6" s="107"/>
      <c r="C6" s="107"/>
      <c r="E6" s="107"/>
      <c r="F6" s="107" t="s">
        <v>139</v>
      </c>
      <c r="G6" s="107"/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0</v>
      </c>
      <c r="W6" s="118">
        <v>0</v>
      </c>
      <c r="X6" s="118">
        <v>0</v>
      </c>
      <c r="Y6" s="130">
        <f>SUM(M6:X6)</f>
        <v>0</v>
      </c>
      <c r="Z6" s="113">
        <f>ROUND(Y6-H6,0)</f>
        <v>0</v>
      </c>
    </row>
    <row r="7" spans="1:27" x14ac:dyDescent="0.25">
      <c r="A7" s="107"/>
      <c r="B7" s="107"/>
      <c r="C7" s="107"/>
      <c r="E7" s="107"/>
      <c r="F7" s="107" t="s">
        <v>140</v>
      </c>
      <c r="G7" s="107"/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0</v>
      </c>
      <c r="W7" s="118">
        <v>0</v>
      </c>
      <c r="X7" s="118">
        <v>0</v>
      </c>
      <c r="Y7" s="130">
        <f t="shared" ref="Y7:Y70" si="0">SUM(M7:X7)</f>
        <v>0</v>
      </c>
      <c r="Z7" s="113">
        <f t="shared" ref="Z7:Z26" si="1">ROUND(Y7-H7,0)</f>
        <v>0</v>
      </c>
    </row>
    <row r="8" spans="1:27" x14ac:dyDescent="0.25">
      <c r="A8" s="107"/>
      <c r="B8" s="107"/>
      <c r="C8" s="107"/>
      <c r="E8" s="107"/>
      <c r="F8" s="107" t="s">
        <v>141</v>
      </c>
      <c r="G8" s="107"/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118">
        <v>0</v>
      </c>
      <c r="T8" s="118">
        <v>0</v>
      </c>
      <c r="U8" s="118">
        <v>0</v>
      </c>
      <c r="V8" s="118">
        <v>0</v>
      </c>
      <c r="W8" s="118">
        <v>0</v>
      </c>
      <c r="X8" s="118">
        <v>0</v>
      </c>
      <c r="Y8" s="130">
        <f t="shared" si="0"/>
        <v>0</v>
      </c>
      <c r="Z8" s="113">
        <f t="shared" si="1"/>
        <v>0</v>
      </c>
    </row>
    <row r="9" spans="1:27" x14ac:dyDescent="0.25">
      <c r="A9" s="107"/>
      <c r="B9" s="107"/>
      <c r="C9" s="107"/>
      <c r="E9" s="107"/>
      <c r="F9" s="107" t="s">
        <v>142</v>
      </c>
      <c r="G9" s="107"/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118">
        <v>0</v>
      </c>
      <c r="T9" s="118">
        <v>0</v>
      </c>
      <c r="U9" s="118">
        <v>0</v>
      </c>
      <c r="V9" s="118">
        <v>0</v>
      </c>
      <c r="W9" s="118">
        <v>0</v>
      </c>
      <c r="X9" s="118">
        <v>0</v>
      </c>
      <c r="Y9" s="130">
        <f t="shared" si="0"/>
        <v>0</v>
      </c>
      <c r="Z9" s="113">
        <f t="shared" si="1"/>
        <v>0</v>
      </c>
    </row>
    <row r="10" spans="1:27" x14ac:dyDescent="0.25">
      <c r="A10" s="107"/>
      <c r="B10" s="107"/>
      <c r="C10" s="107"/>
      <c r="E10" s="107"/>
      <c r="F10" s="107" t="s">
        <v>143</v>
      </c>
      <c r="G10" s="107"/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v>0</v>
      </c>
      <c r="W10" s="118">
        <v>0</v>
      </c>
      <c r="X10" s="118">
        <v>0</v>
      </c>
      <c r="Y10" s="130">
        <f t="shared" si="0"/>
        <v>0</v>
      </c>
      <c r="Z10" s="113">
        <f t="shared" si="1"/>
        <v>0</v>
      </c>
    </row>
    <row r="11" spans="1:27" x14ac:dyDescent="0.25">
      <c r="A11" s="107"/>
      <c r="B11" s="107"/>
      <c r="C11" s="107"/>
      <c r="E11" s="107"/>
      <c r="F11" s="107" t="s">
        <v>144</v>
      </c>
      <c r="G11" s="107"/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118">
        <v>0</v>
      </c>
      <c r="Y11" s="130">
        <f t="shared" si="0"/>
        <v>0</v>
      </c>
      <c r="Z11" s="113">
        <f t="shared" si="1"/>
        <v>0</v>
      </c>
    </row>
    <row r="12" spans="1:27" x14ac:dyDescent="0.25">
      <c r="A12" s="107"/>
      <c r="B12" s="107"/>
      <c r="C12" s="107"/>
      <c r="E12" s="107"/>
      <c r="F12" s="107" t="s">
        <v>145</v>
      </c>
      <c r="G12" s="107"/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30">
        <f t="shared" si="0"/>
        <v>0</v>
      </c>
      <c r="Z12" s="113">
        <f t="shared" si="1"/>
        <v>0</v>
      </c>
    </row>
    <row r="13" spans="1:27" x14ac:dyDescent="0.25">
      <c r="A13" s="107"/>
      <c r="B13" s="107"/>
      <c r="C13" s="107"/>
      <c r="E13" s="107"/>
      <c r="F13" s="107" t="s">
        <v>146</v>
      </c>
      <c r="G13" s="107"/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30">
        <f t="shared" si="0"/>
        <v>0</v>
      </c>
      <c r="Z13" s="113">
        <f t="shared" si="1"/>
        <v>0</v>
      </c>
    </row>
    <row r="14" spans="1:27" x14ac:dyDescent="0.25">
      <c r="A14" s="107"/>
      <c r="B14" s="107"/>
      <c r="C14" s="107"/>
      <c r="E14" s="107"/>
      <c r="F14" s="107" t="s">
        <v>147</v>
      </c>
      <c r="G14" s="107"/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30">
        <f t="shared" si="0"/>
        <v>0</v>
      </c>
      <c r="Z14" s="113">
        <f t="shared" si="1"/>
        <v>0</v>
      </c>
    </row>
    <row r="15" spans="1:27" x14ac:dyDescent="0.25">
      <c r="A15" s="107"/>
      <c r="B15" s="107"/>
      <c r="C15" s="107"/>
      <c r="E15" s="107"/>
      <c r="F15" s="107" t="s">
        <v>148</v>
      </c>
      <c r="G15" s="107"/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30">
        <f t="shared" si="0"/>
        <v>0</v>
      </c>
      <c r="Z15" s="113">
        <f t="shared" si="1"/>
        <v>0</v>
      </c>
    </row>
    <row r="16" spans="1:27" x14ac:dyDescent="0.25">
      <c r="A16" s="107"/>
      <c r="B16" s="107"/>
      <c r="C16" s="107"/>
      <c r="E16" s="107"/>
      <c r="F16" s="107" t="s">
        <v>149</v>
      </c>
      <c r="G16" s="107"/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30">
        <f t="shared" si="0"/>
        <v>0</v>
      </c>
      <c r="Z16" s="113">
        <f t="shared" si="1"/>
        <v>0</v>
      </c>
    </row>
    <row r="17" spans="1:26" x14ac:dyDescent="0.25">
      <c r="A17" s="107"/>
      <c r="B17" s="107"/>
      <c r="C17" s="107"/>
      <c r="E17" s="107"/>
      <c r="F17" s="107" t="s">
        <v>150</v>
      </c>
      <c r="G17" s="107"/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30">
        <f t="shared" si="0"/>
        <v>0</v>
      </c>
      <c r="Z17" s="113">
        <f t="shared" si="1"/>
        <v>0</v>
      </c>
    </row>
    <row r="18" spans="1:26" x14ac:dyDescent="0.25">
      <c r="A18" s="107"/>
      <c r="B18" s="107"/>
      <c r="C18" s="107"/>
      <c r="E18" s="107"/>
      <c r="F18" s="107" t="s">
        <v>151</v>
      </c>
      <c r="G18" s="107"/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30">
        <f t="shared" si="0"/>
        <v>0</v>
      </c>
      <c r="Z18" s="113">
        <f t="shared" si="1"/>
        <v>0</v>
      </c>
    </row>
    <row r="19" spans="1:26" x14ac:dyDescent="0.25">
      <c r="A19" s="107"/>
      <c r="B19" s="107"/>
      <c r="C19" s="107"/>
      <c r="E19" s="107"/>
      <c r="F19" s="107" t="s">
        <v>152</v>
      </c>
      <c r="G19" s="107"/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30">
        <f t="shared" si="0"/>
        <v>0</v>
      </c>
      <c r="Z19" s="113">
        <f t="shared" si="1"/>
        <v>0</v>
      </c>
    </row>
    <row r="20" spans="1:26" x14ac:dyDescent="0.25">
      <c r="A20" s="107"/>
      <c r="B20" s="107"/>
      <c r="C20" s="107"/>
      <c r="E20" s="107"/>
      <c r="F20" s="107" t="s">
        <v>153</v>
      </c>
      <c r="G20" s="107"/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30">
        <f t="shared" si="0"/>
        <v>0</v>
      </c>
      <c r="Z20" s="113">
        <f t="shared" si="1"/>
        <v>0</v>
      </c>
    </row>
    <row r="21" spans="1:26" x14ac:dyDescent="0.25">
      <c r="A21" s="107"/>
      <c r="B21" s="107"/>
      <c r="C21" s="107"/>
      <c r="E21" s="107"/>
      <c r="F21" s="107" t="s">
        <v>154</v>
      </c>
      <c r="G21" s="107"/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30">
        <f t="shared" si="0"/>
        <v>0</v>
      </c>
      <c r="Z21" s="113">
        <f t="shared" si="1"/>
        <v>0</v>
      </c>
    </row>
    <row r="22" spans="1:26" x14ac:dyDescent="0.25">
      <c r="A22" s="107"/>
      <c r="B22" s="107"/>
      <c r="C22" s="107"/>
      <c r="E22" s="107"/>
      <c r="F22" s="107" t="s">
        <v>155</v>
      </c>
      <c r="G22" s="107"/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  <c r="U22" s="118">
        <v>0</v>
      </c>
      <c r="V22" s="118">
        <v>0</v>
      </c>
      <c r="W22" s="118">
        <v>0</v>
      </c>
      <c r="X22" s="118">
        <v>0</v>
      </c>
      <c r="Y22" s="130">
        <f t="shared" si="0"/>
        <v>0</v>
      </c>
      <c r="Z22" s="113">
        <f t="shared" si="1"/>
        <v>0</v>
      </c>
    </row>
    <row r="23" spans="1:26" x14ac:dyDescent="0.25">
      <c r="A23" s="107"/>
      <c r="B23" s="107"/>
      <c r="C23" s="107"/>
      <c r="E23" s="107"/>
      <c r="F23" s="107" t="s">
        <v>156</v>
      </c>
      <c r="G23" s="107"/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30">
        <f t="shared" si="0"/>
        <v>0</v>
      </c>
      <c r="Z23" s="113">
        <f t="shared" si="1"/>
        <v>0</v>
      </c>
    </row>
    <row r="24" spans="1:26" ht="15.75" thickBot="1" x14ac:dyDescent="0.3">
      <c r="A24" s="107"/>
      <c r="B24" s="107"/>
      <c r="C24" s="107"/>
      <c r="E24" s="107"/>
      <c r="F24" s="107" t="s">
        <v>157</v>
      </c>
      <c r="G24" s="107"/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18">
        <v>0</v>
      </c>
      <c r="U24" s="118">
        <v>0</v>
      </c>
      <c r="V24" s="118">
        <v>0</v>
      </c>
      <c r="W24" s="118">
        <v>0</v>
      </c>
      <c r="X24" s="118">
        <v>0</v>
      </c>
      <c r="Y24" s="130">
        <f t="shared" si="0"/>
        <v>0</v>
      </c>
      <c r="Z24" s="113">
        <f t="shared" si="1"/>
        <v>0</v>
      </c>
    </row>
    <row r="25" spans="1:26" ht="15.75" thickBot="1" x14ac:dyDescent="0.3">
      <c r="A25" s="107"/>
      <c r="B25" s="107"/>
      <c r="C25" s="107" t="s">
        <v>158</v>
      </c>
      <c r="D25" s="107"/>
      <c r="E25" s="107"/>
      <c r="F25" s="107"/>
      <c r="G25" s="107"/>
      <c r="H25" s="131">
        <f>ROUND(SUM(H6:H24),5)</f>
        <v>0</v>
      </c>
      <c r="I25" s="131">
        <f t="shared" ref="I25:X25" si="2">ROUND(SUM(I6:I24),5)</f>
        <v>0</v>
      </c>
      <c r="J25" s="131">
        <f t="shared" si="2"/>
        <v>0</v>
      </c>
      <c r="K25" s="131">
        <f t="shared" si="2"/>
        <v>0</v>
      </c>
      <c r="L25" s="131">
        <f t="shared" si="2"/>
        <v>0</v>
      </c>
      <c r="M25" s="131">
        <f t="shared" si="2"/>
        <v>0</v>
      </c>
      <c r="N25" s="131">
        <f t="shared" si="2"/>
        <v>0</v>
      </c>
      <c r="O25" s="131">
        <f t="shared" si="2"/>
        <v>0</v>
      </c>
      <c r="P25" s="131">
        <f t="shared" si="2"/>
        <v>0</v>
      </c>
      <c r="Q25" s="131">
        <f t="shared" si="2"/>
        <v>0</v>
      </c>
      <c r="R25" s="131">
        <f t="shared" si="2"/>
        <v>0</v>
      </c>
      <c r="S25" s="131">
        <f t="shared" si="2"/>
        <v>0</v>
      </c>
      <c r="T25" s="131">
        <f t="shared" si="2"/>
        <v>0</v>
      </c>
      <c r="U25" s="131">
        <f t="shared" si="2"/>
        <v>0</v>
      </c>
      <c r="V25" s="131">
        <f t="shared" si="2"/>
        <v>0</v>
      </c>
      <c r="W25" s="131">
        <f t="shared" si="2"/>
        <v>0</v>
      </c>
      <c r="X25" s="131">
        <f t="shared" si="2"/>
        <v>0</v>
      </c>
      <c r="Y25" s="131">
        <f>ROUND(SUM(Y6:Y24),5)</f>
        <v>0</v>
      </c>
      <c r="Z25" s="113">
        <f t="shared" si="1"/>
        <v>0</v>
      </c>
    </row>
    <row r="26" spans="1:26" x14ac:dyDescent="0.25">
      <c r="A26" s="107"/>
      <c r="B26" s="107" t="s">
        <v>159</v>
      </c>
      <c r="C26" s="107"/>
      <c r="D26" s="107"/>
      <c r="E26" s="107"/>
      <c r="F26" s="107"/>
      <c r="G26" s="107"/>
      <c r="H26" s="118">
        <f>H25</f>
        <v>0</v>
      </c>
      <c r="I26" s="118">
        <f t="shared" ref="I26:X26" si="3">I25</f>
        <v>0</v>
      </c>
      <c r="J26" s="118">
        <f t="shared" si="3"/>
        <v>0</v>
      </c>
      <c r="K26" s="118">
        <f t="shared" si="3"/>
        <v>0</v>
      </c>
      <c r="L26" s="118">
        <f t="shared" si="3"/>
        <v>0</v>
      </c>
      <c r="M26" s="118">
        <f t="shared" si="3"/>
        <v>0</v>
      </c>
      <c r="N26" s="118">
        <f t="shared" si="3"/>
        <v>0</v>
      </c>
      <c r="O26" s="118">
        <f t="shared" si="3"/>
        <v>0</v>
      </c>
      <c r="P26" s="118">
        <f t="shared" si="3"/>
        <v>0</v>
      </c>
      <c r="Q26" s="118">
        <f t="shared" si="3"/>
        <v>0</v>
      </c>
      <c r="R26" s="118">
        <f t="shared" si="3"/>
        <v>0</v>
      </c>
      <c r="S26" s="118">
        <f t="shared" si="3"/>
        <v>0</v>
      </c>
      <c r="T26" s="118">
        <f t="shared" si="3"/>
        <v>0</v>
      </c>
      <c r="U26" s="118">
        <f t="shared" si="3"/>
        <v>0</v>
      </c>
      <c r="V26" s="118">
        <f t="shared" si="3"/>
        <v>0</v>
      </c>
      <c r="W26" s="118">
        <f t="shared" si="3"/>
        <v>0</v>
      </c>
      <c r="X26" s="118">
        <f t="shared" si="3"/>
        <v>0</v>
      </c>
      <c r="Y26" s="130">
        <f t="shared" si="0"/>
        <v>0</v>
      </c>
      <c r="Z26" s="113">
        <f t="shared" si="1"/>
        <v>0</v>
      </c>
    </row>
    <row r="27" spans="1:26" hidden="1" x14ac:dyDescent="0.25">
      <c r="A27" s="107"/>
      <c r="B27" s="107"/>
      <c r="C27" s="107" t="s">
        <v>160</v>
      </c>
      <c r="D27" s="107"/>
      <c r="E27" s="107"/>
      <c r="F27" s="107"/>
      <c r="G27" s="107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30"/>
    </row>
    <row r="28" spans="1:26" hidden="1" x14ac:dyDescent="0.25">
      <c r="A28" s="107"/>
      <c r="B28" s="107"/>
      <c r="C28" s="107"/>
      <c r="D28" s="107" t="s">
        <v>160</v>
      </c>
      <c r="E28" s="107"/>
      <c r="F28" s="107"/>
      <c r="G28" s="107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30"/>
    </row>
    <row r="29" spans="1:26" hidden="1" x14ac:dyDescent="0.25">
      <c r="A29" s="107"/>
      <c r="B29" s="107"/>
      <c r="C29" s="107"/>
      <c r="D29" s="107"/>
      <c r="E29" s="107" t="s">
        <v>111</v>
      </c>
      <c r="F29" s="107"/>
      <c r="G29" s="107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30"/>
    </row>
    <row r="30" spans="1:26" hidden="1" x14ac:dyDescent="0.25">
      <c r="A30" s="107"/>
      <c r="B30" s="107"/>
      <c r="C30" s="107"/>
      <c r="D30" s="107"/>
      <c r="E30" s="107"/>
      <c r="F30" s="132" t="s">
        <v>112</v>
      </c>
      <c r="G30" s="107"/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0">
        <f t="shared" si="0"/>
        <v>0</v>
      </c>
      <c r="Z30" s="113">
        <f t="shared" ref="Z30:Z37" si="4">ROUND(Y30-H30,0)</f>
        <v>0</v>
      </c>
    </row>
    <row r="31" spans="1:26" hidden="1" x14ac:dyDescent="0.25">
      <c r="A31" s="107"/>
      <c r="B31" s="107"/>
      <c r="C31" s="107"/>
      <c r="D31" s="107"/>
      <c r="E31" s="107"/>
      <c r="F31" s="132" t="s">
        <v>113</v>
      </c>
      <c r="G31" s="107"/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0">
        <f t="shared" si="0"/>
        <v>0</v>
      </c>
      <c r="Z31" s="113">
        <f t="shared" si="4"/>
        <v>0</v>
      </c>
    </row>
    <row r="32" spans="1:26" hidden="1" x14ac:dyDescent="0.25">
      <c r="A32" s="107"/>
      <c r="B32" s="107"/>
      <c r="C32" s="107"/>
      <c r="D32" s="107"/>
      <c r="E32" s="107"/>
      <c r="F32" s="132" t="s">
        <v>114</v>
      </c>
      <c r="G32" s="107"/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0">
        <f t="shared" si="0"/>
        <v>0</v>
      </c>
      <c r="Z32" s="113">
        <f t="shared" si="4"/>
        <v>0</v>
      </c>
    </row>
    <row r="33" spans="1:26" hidden="1" x14ac:dyDescent="0.25">
      <c r="A33" s="107"/>
      <c r="B33" s="107"/>
      <c r="C33" s="107"/>
      <c r="D33" s="107"/>
      <c r="E33" s="107"/>
      <c r="F33" s="132" t="s">
        <v>115</v>
      </c>
      <c r="G33" s="107"/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0">
        <f t="shared" si="0"/>
        <v>0</v>
      </c>
      <c r="Z33" s="113">
        <f t="shared" si="4"/>
        <v>0</v>
      </c>
    </row>
    <row r="34" spans="1:26" hidden="1" x14ac:dyDescent="0.25">
      <c r="A34" s="107"/>
      <c r="B34" s="107"/>
      <c r="C34" s="107"/>
      <c r="D34" s="107"/>
      <c r="E34" s="107"/>
      <c r="F34" s="132" t="s">
        <v>116</v>
      </c>
      <c r="G34" s="107"/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0</v>
      </c>
      <c r="Y34" s="130">
        <f t="shared" si="0"/>
        <v>0</v>
      </c>
      <c r="Z34" s="113">
        <f t="shared" si="4"/>
        <v>0</v>
      </c>
    </row>
    <row r="35" spans="1:26" hidden="1" x14ac:dyDescent="0.25">
      <c r="A35" s="107"/>
      <c r="B35" s="107"/>
      <c r="C35" s="107"/>
      <c r="D35" s="107"/>
      <c r="E35" s="107"/>
      <c r="F35" s="132" t="s">
        <v>117</v>
      </c>
      <c r="G35" s="107"/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0">
        <f t="shared" si="0"/>
        <v>0</v>
      </c>
      <c r="Z35" s="113">
        <f t="shared" si="4"/>
        <v>0</v>
      </c>
    </row>
    <row r="36" spans="1:26" ht="15.75" hidden="1" thickBot="1" x14ac:dyDescent="0.3">
      <c r="A36" s="107"/>
      <c r="B36" s="107"/>
      <c r="C36" s="107"/>
      <c r="D36" s="107"/>
      <c r="E36" s="107"/>
      <c r="F36" s="132" t="s">
        <v>118</v>
      </c>
      <c r="G36" s="107"/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5">
        <f t="shared" si="0"/>
        <v>0</v>
      </c>
      <c r="Z36" s="113">
        <f t="shared" si="4"/>
        <v>0</v>
      </c>
    </row>
    <row r="37" spans="1:26" hidden="1" x14ac:dyDescent="0.25">
      <c r="A37" s="107"/>
      <c r="B37" s="107"/>
      <c r="C37" s="107"/>
      <c r="D37" s="107"/>
      <c r="E37" s="107" t="s">
        <v>119</v>
      </c>
      <c r="F37" s="107"/>
      <c r="G37" s="107"/>
      <c r="H37" s="118">
        <f>ROUND(SUM(H30:H36),5)</f>
        <v>0</v>
      </c>
      <c r="I37" s="118">
        <f t="shared" ref="I37:X37" si="5">ROUND(SUM(I30:I36),5)</f>
        <v>0</v>
      </c>
      <c r="J37" s="118">
        <f t="shared" si="5"/>
        <v>0</v>
      </c>
      <c r="K37" s="118">
        <f t="shared" si="5"/>
        <v>0</v>
      </c>
      <c r="L37" s="118">
        <f t="shared" si="5"/>
        <v>0</v>
      </c>
      <c r="M37" s="118">
        <f t="shared" si="5"/>
        <v>0</v>
      </c>
      <c r="N37" s="118">
        <f t="shared" si="5"/>
        <v>0</v>
      </c>
      <c r="O37" s="118">
        <f t="shared" si="5"/>
        <v>0</v>
      </c>
      <c r="P37" s="118">
        <f t="shared" si="5"/>
        <v>0</v>
      </c>
      <c r="Q37" s="118">
        <f t="shared" si="5"/>
        <v>0</v>
      </c>
      <c r="R37" s="118">
        <f t="shared" si="5"/>
        <v>0</v>
      </c>
      <c r="S37" s="118">
        <f t="shared" si="5"/>
        <v>0</v>
      </c>
      <c r="T37" s="118">
        <f t="shared" si="5"/>
        <v>0</v>
      </c>
      <c r="U37" s="118">
        <f t="shared" si="5"/>
        <v>0</v>
      </c>
      <c r="V37" s="118">
        <f t="shared" si="5"/>
        <v>0</v>
      </c>
      <c r="W37" s="118">
        <f t="shared" si="5"/>
        <v>0</v>
      </c>
      <c r="X37" s="118">
        <f t="shared" si="5"/>
        <v>0</v>
      </c>
      <c r="Y37" s="118">
        <f>ROUND(SUM(Y30:Y36),5)</f>
        <v>0</v>
      </c>
      <c r="Z37" s="113">
        <f t="shared" si="4"/>
        <v>0</v>
      </c>
    </row>
    <row r="38" spans="1:26" hidden="1" x14ac:dyDescent="0.25">
      <c r="A38" s="107"/>
      <c r="B38" s="107"/>
      <c r="C38" s="107"/>
      <c r="D38" s="107"/>
      <c r="E38" s="107" t="s">
        <v>0</v>
      </c>
      <c r="F38" s="107"/>
      <c r="G38" s="107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30"/>
    </row>
    <row r="39" spans="1:26" hidden="1" x14ac:dyDescent="0.25">
      <c r="A39" s="107"/>
      <c r="B39" s="107"/>
      <c r="C39" s="107"/>
      <c r="D39" s="107"/>
      <c r="E39" s="107"/>
      <c r="F39" s="132" t="s">
        <v>1</v>
      </c>
      <c r="G39" s="107"/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18">
        <v>0</v>
      </c>
      <c r="Q39" s="118">
        <v>0</v>
      </c>
      <c r="R39" s="118">
        <v>0</v>
      </c>
      <c r="S39" s="118">
        <v>0</v>
      </c>
      <c r="T39" s="118">
        <v>0</v>
      </c>
      <c r="U39" s="118">
        <v>0</v>
      </c>
      <c r="V39" s="118">
        <v>0</v>
      </c>
      <c r="W39" s="118">
        <v>0</v>
      </c>
      <c r="X39" s="118">
        <v>0</v>
      </c>
      <c r="Y39" s="130">
        <f t="shared" si="0"/>
        <v>0</v>
      </c>
      <c r="Z39" s="113">
        <f t="shared" ref="Z39:Z61" si="6">ROUND(Y39-H39,0)</f>
        <v>0</v>
      </c>
    </row>
    <row r="40" spans="1:26" hidden="1" x14ac:dyDescent="0.25">
      <c r="A40" s="107"/>
      <c r="B40" s="107"/>
      <c r="C40" s="107"/>
      <c r="D40" s="107"/>
      <c r="E40" s="107"/>
      <c r="F40" s="132" t="s">
        <v>2</v>
      </c>
      <c r="G40" s="107"/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18">
        <v>0</v>
      </c>
      <c r="Q40" s="118">
        <v>0</v>
      </c>
      <c r="R40" s="118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18">
        <v>0</v>
      </c>
      <c r="Y40" s="130">
        <f t="shared" si="0"/>
        <v>0</v>
      </c>
      <c r="Z40" s="113">
        <f t="shared" si="6"/>
        <v>0</v>
      </c>
    </row>
    <row r="41" spans="1:26" hidden="1" x14ac:dyDescent="0.25">
      <c r="A41" s="107"/>
      <c r="B41" s="107"/>
      <c r="C41" s="107"/>
      <c r="D41" s="107"/>
      <c r="E41" s="107"/>
      <c r="F41" s="132" t="s">
        <v>3</v>
      </c>
      <c r="G41" s="107"/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30">
        <f t="shared" si="0"/>
        <v>0</v>
      </c>
      <c r="Z41" s="113">
        <f t="shared" si="6"/>
        <v>0</v>
      </c>
    </row>
    <row r="42" spans="1:26" hidden="1" x14ac:dyDescent="0.25">
      <c r="A42" s="107"/>
      <c r="B42" s="107"/>
      <c r="C42" s="107"/>
      <c r="D42" s="107"/>
      <c r="E42" s="107"/>
      <c r="F42" s="132" t="s">
        <v>4</v>
      </c>
      <c r="G42" s="107"/>
      <c r="H42" s="118">
        <v>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8">
        <v>0</v>
      </c>
      <c r="Q42" s="118">
        <v>0</v>
      </c>
      <c r="R42" s="118">
        <v>0</v>
      </c>
      <c r="S42" s="118">
        <v>0</v>
      </c>
      <c r="T42" s="118">
        <v>0</v>
      </c>
      <c r="U42" s="118">
        <v>0</v>
      </c>
      <c r="V42" s="118">
        <v>0</v>
      </c>
      <c r="W42" s="118">
        <v>0</v>
      </c>
      <c r="X42" s="118">
        <v>0</v>
      </c>
      <c r="Y42" s="130">
        <f t="shared" si="0"/>
        <v>0</v>
      </c>
      <c r="Z42" s="113">
        <f t="shared" si="6"/>
        <v>0</v>
      </c>
    </row>
    <row r="43" spans="1:26" hidden="1" x14ac:dyDescent="0.25">
      <c r="A43" s="107"/>
      <c r="B43" s="107"/>
      <c r="C43" s="107"/>
      <c r="D43" s="107"/>
      <c r="E43" s="107"/>
      <c r="F43" s="132" t="s">
        <v>5</v>
      </c>
      <c r="G43" s="107"/>
      <c r="H43" s="118">
        <v>0</v>
      </c>
      <c r="I43" s="118">
        <v>0</v>
      </c>
      <c r="J43" s="118">
        <v>0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18">
        <v>0</v>
      </c>
      <c r="Q43" s="118">
        <v>0</v>
      </c>
      <c r="R43" s="118">
        <v>0</v>
      </c>
      <c r="S43" s="118">
        <v>0</v>
      </c>
      <c r="T43" s="118">
        <v>0</v>
      </c>
      <c r="U43" s="118">
        <v>0</v>
      </c>
      <c r="V43" s="118">
        <v>0</v>
      </c>
      <c r="W43" s="118">
        <v>0</v>
      </c>
      <c r="X43" s="118">
        <v>0</v>
      </c>
      <c r="Y43" s="130">
        <f t="shared" si="0"/>
        <v>0</v>
      </c>
      <c r="Z43" s="113">
        <f t="shared" si="6"/>
        <v>0</v>
      </c>
    </row>
    <row r="44" spans="1:26" hidden="1" x14ac:dyDescent="0.25">
      <c r="A44" s="107"/>
      <c r="B44" s="107"/>
      <c r="C44" s="107"/>
      <c r="D44" s="107"/>
      <c r="E44" s="107"/>
      <c r="F44" s="132" t="s">
        <v>6</v>
      </c>
      <c r="G44" s="107"/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18">
        <v>0</v>
      </c>
      <c r="Y44" s="130">
        <f t="shared" si="0"/>
        <v>0</v>
      </c>
      <c r="Z44" s="113">
        <f t="shared" si="6"/>
        <v>0</v>
      </c>
    </row>
    <row r="45" spans="1:26" hidden="1" x14ac:dyDescent="0.25">
      <c r="A45" s="107"/>
      <c r="B45" s="107"/>
      <c r="C45" s="107"/>
      <c r="D45" s="107"/>
      <c r="E45" s="107"/>
      <c r="F45" s="132" t="s">
        <v>7</v>
      </c>
      <c r="G45" s="107"/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8">
        <v>0</v>
      </c>
      <c r="Q45" s="118">
        <v>0</v>
      </c>
      <c r="R45" s="118">
        <v>0</v>
      </c>
      <c r="S45" s="118">
        <v>0</v>
      </c>
      <c r="T45" s="118">
        <v>0</v>
      </c>
      <c r="U45" s="118">
        <v>0</v>
      </c>
      <c r="V45" s="118">
        <v>0</v>
      </c>
      <c r="W45" s="118">
        <v>0</v>
      </c>
      <c r="X45" s="118">
        <v>0</v>
      </c>
      <c r="Y45" s="130">
        <f t="shared" si="0"/>
        <v>0</v>
      </c>
      <c r="Z45" s="113">
        <f t="shared" si="6"/>
        <v>0</v>
      </c>
    </row>
    <row r="46" spans="1:26" hidden="1" x14ac:dyDescent="0.25">
      <c r="A46" s="107"/>
      <c r="B46" s="107"/>
      <c r="C46" s="107"/>
      <c r="D46" s="107"/>
      <c r="E46" s="107"/>
      <c r="F46" s="132" t="s">
        <v>8</v>
      </c>
      <c r="G46" s="107"/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118">
        <v>0</v>
      </c>
      <c r="U46" s="118">
        <v>0</v>
      </c>
      <c r="V46" s="118">
        <v>0</v>
      </c>
      <c r="W46" s="118">
        <v>0</v>
      </c>
      <c r="X46" s="118">
        <v>0</v>
      </c>
      <c r="Y46" s="130">
        <f t="shared" si="0"/>
        <v>0</v>
      </c>
      <c r="Z46" s="113">
        <f t="shared" si="6"/>
        <v>0</v>
      </c>
    </row>
    <row r="47" spans="1:26" hidden="1" x14ac:dyDescent="0.25">
      <c r="A47" s="107"/>
      <c r="B47" s="107"/>
      <c r="C47" s="107"/>
      <c r="D47" s="107"/>
      <c r="E47" s="107"/>
      <c r="F47" s="132" t="s">
        <v>9</v>
      </c>
      <c r="G47" s="107"/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30">
        <f t="shared" si="0"/>
        <v>0</v>
      </c>
      <c r="Z47" s="113">
        <f t="shared" si="6"/>
        <v>0</v>
      </c>
    </row>
    <row r="48" spans="1:26" hidden="1" x14ac:dyDescent="0.25">
      <c r="A48" s="107"/>
      <c r="B48" s="107"/>
      <c r="C48" s="107"/>
      <c r="D48" s="107"/>
      <c r="E48" s="107"/>
      <c r="F48" s="132" t="s">
        <v>10</v>
      </c>
      <c r="G48" s="107"/>
      <c r="H48" s="118">
        <v>0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18">
        <v>0</v>
      </c>
      <c r="Q48" s="118">
        <v>0</v>
      </c>
      <c r="R48" s="118">
        <v>0</v>
      </c>
      <c r="S48" s="118">
        <v>0</v>
      </c>
      <c r="T48" s="118">
        <v>0</v>
      </c>
      <c r="U48" s="118">
        <v>0</v>
      </c>
      <c r="V48" s="118">
        <v>0</v>
      </c>
      <c r="W48" s="118">
        <v>0</v>
      </c>
      <c r="X48" s="118">
        <v>0</v>
      </c>
      <c r="Y48" s="130">
        <f t="shared" si="0"/>
        <v>0</v>
      </c>
      <c r="Z48" s="113">
        <f t="shared" si="6"/>
        <v>0</v>
      </c>
    </row>
    <row r="49" spans="1:26" hidden="1" x14ac:dyDescent="0.25">
      <c r="A49" s="107"/>
      <c r="B49" s="107"/>
      <c r="C49" s="107"/>
      <c r="D49" s="107"/>
      <c r="E49" s="107"/>
      <c r="F49" s="132" t="s">
        <v>11</v>
      </c>
      <c r="G49" s="107"/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118">
        <v>0</v>
      </c>
      <c r="Q49" s="118">
        <v>0</v>
      </c>
      <c r="R49" s="118">
        <v>0</v>
      </c>
      <c r="S49" s="118">
        <v>0</v>
      </c>
      <c r="T49" s="118">
        <v>0</v>
      </c>
      <c r="U49" s="118">
        <v>0</v>
      </c>
      <c r="V49" s="118">
        <v>0</v>
      </c>
      <c r="W49" s="118">
        <v>0</v>
      </c>
      <c r="X49" s="118">
        <v>0</v>
      </c>
      <c r="Y49" s="130">
        <f t="shared" si="0"/>
        <v>0</v>
      </c>
      <c r="Z49" s="113">
        <f t="shared" si="6"/>
        <v>0</v>
      </c>
    </row>
    <row r="50" spans="1:26" hidden="1" x14ac:dyDescent="0.25">
      <c r="A50" s="107"/>
      <c r="B50" s="107"/>
      <c r="C50" s="107"/>
      <c r="D50" s="107"/>
      <c r="E50" s="107"/>
      <c r="F50" s="132" t="s">
        <v>12</v>
      </c>
      <c r="G50" s="107"/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18">
        <v>0</v>
      </c>
      <c r="Q50" s="118">
        <v>0</v>
      </c>
      <c r="R50" s="118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18">
        <v>0</v>
      </c>
      <c r="Y50" s="130">
        <f t="shared" si="0"/>
        <v>0</v>
      </c>
      <c r="Z50" s="113">
        <f t="shared" si="6"/>
        <v>0</v>
      </c>
    </row>
    <row r="51" spans="1:26" hidden="1" x14ac:dyDescent="0.25">
      <c r="A51" s="107"/>
      <c r="B51" s="107"/>
      <c r="C51" s="107"/>
      <c r="D51" s="107"/>
      <c r="E51" s="107"/>
      <c r="F51" s="132" t="s">
        <v>13</v>
      </c>
      <c r="G51" s="107"/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30">
        <f t="shared" si="0"/>
        <v>0</v>
      </c>
      <c r="Z51" s="113">
        <f t="shared" si="6"/>
        <v>0</v>
      </c>
    </row>
    <row r="52" spans="1:26" hidden="1" x14ac:dyDescent="0.25">
      <c r="A52" s="107"/>
      <c r="B52" s="107"/>
      <c r="C52" s="107"/>
      <c r="D52" s="107"/>
      <c r="E52" s="107"/>
      <c r="F52" s="132" t="s">
        <v>14</v>
      </c>
      <c r="G52" s="107"/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18">
        <v>0</v>
      </c>
      <c r="Q52" s="118">
        <v>0</v>
      </c>
      <c r="R52" s="118">
        <v>0</v>
      </c>
      <c r="S52" s="118">
        <v>0</v>
      </c>
      <c r="T52" s="118">
        <v>0</v>
      </c>
      <c r="U52" s="118">
        <v>0</v>
      </c>
      <c r="V52" s="118">
        <v>0</v>
      </c>
      <c r="W52" s="118">
        <v>0</v>
      </c>
      <c r="X52" s="118">
        <v>0</v>
      </c>
      <c r="Y52" s="130">
        <f t="shared" si="0"/>
        <v>0</v>
      </c>
      <c r="Z52" s="113">
        <f t="shared" si="6"/>
        <v>0</v>
      </c>
    </row>
    <row r="53" spans="1:26" hidden="1" x14ac:dyDescent="0.25">
      <c r="A53" s="107"/>
      <c r="B53" s="107"/>
      <c r="C53" s="107"/>
      <c r="D53" s="107"/>
      <c r="E53" s="107"/>
      <c r="F53" s="132" t="s">
        <v>15</v>
      </c>
      <c r="G53" s="107"/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18">
        <v>0</v>
      </c>
      <c r="Q53" s="118">
        <v>0</v>
      </c>
      <c r="R53" s="118">
        <v>0</v>
      </c>
      <c r="S53" s="118">
        <v>0</v>
      </c>
      <c r="T53" s="118">
        <v>0</v>
      </c>
      <c r="U53" s="118">
        <v>0</v>
      </c>
      <c r="V53" s="118">
        <v>0</v>
      </c>
      <c r="W53" s="118">
        <v>0</v>
      </c>
      <c r="X53" s="118">
        <v>0</v>
      </c>
      <c r="Y53" s="130">
        <f t="shared" si="0"/>
        <v>0</v>
      </c>
      <c r="Z53" s="113">
        <f t="shared" si="6"/>
        <v>0</v>
      </c>
    </row>
    <row r="54" spans="1:26" hidden="1" x14ac:dyDescent="0.25">
      <c r="A54" s="107"/>
      <c r="B54" s="107"/>
      <c r="C54" s="107"/>
      <c r="D54" s="107"/>
      <c r="E54" s="107"/>
      <c r="F54" s="132" t="s">
        <v>16</v>
      </c>
      <c r="G54" s="107"/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8">
        <v>0</v>
      </c>
      <c r="Q54" s="118">
        <v>0</v>
      </c>
      <c r="R54" s="118">
        <v>0</v>
      </c>
      <c r="S54" s="118">
        <v>0</v>
      </c>
      <c r="T54" s="118">
        <v>0</v>
      </c>
      <c r="U54" s="118">
        <v>0</v>
      </c>
      <c r="V54" s="118">
        <v>0</v>
      </c>
      <c r="W54" s="118">
        <v>0</v>
      </c>
      <c r="X54" s="118">
        <v>0</v>
      </c>
      <c r="Y54" s="130">
        <f t="shared" si="0"/>
        <v>0</v>
      </c>
      <c r="Z54" s="113">
        <f t="shared" si="6"/>
        <v>0</v>
      </c>
    </row>
    <row r="55" spans="1:26" hidden="1" x14ac:dyDescent="0.25">
      <c r="A55" s="107"/>
      <c r="B55" s="107"/>
      <c r="C55" s="107"/>
      <c r="D55" s="107"/>
      <c r="E55" s="107"/>
      <c r="F55" s="132" t="s">
        <v>17</v>
      </c>
      <c r="G55" s="107"/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18">
        <v>0</v>
      </c>
      <c r="Q55" s="118">
        <v>0</v>
      </c>
      <c r="R55" s="118">
        <v>0</v>
      </c>
      <c r="S55" s="118">
        <v>0</v>
      </c>
      <c r="T55" s="118">
        <v>0</v>
      </c>
      <c r="U55" s="118">
        <v>0</v>
      </c>
      <c r="V55" s="118">
        <v>0</v>
      </c>
      <c r="W55" s="118">
        <v>0</v>
      </c>
      <c r="X55" s="118">
        <v>0</v>
      </c>
      <c r="Y55" s="130">
        <f t="shared" si="0"/>
        <v>0</v>
      </c>
      <c r="Z55" s="113">
        <f t="shared" si="6"/>
        <v>0</v>
      </c>
    </row>
    <row r="56" spans="1:26" hidden="1" x14ac:dyDescent="0.25">
      <c r="A56" s="107"/>
      <c r="B56" s="107"/>
      <c r="C56" s="107"/>
      <c r="D56" s="107"/>
      <c r="E56" s="107"/>
      <c r="F56" s="132" t="s">
        <v>18</v>
      </c>
      <c r="G56" s="107"/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0</v>
      </c>
      <c r="R56" s="118">
        <v>0</v>
      </c>
      <c r="S56" s="118">
        <v>0</v>
      </c>
      <c r="T56" s="118">
        <v>0</v>
      </c>
      <c r="U56" s="118">
        <v>0</v>
      </c>
      <c r="V56" s="118">
        <v>0</v>
      </c>
      <c r="W56" s="118">
        <v>0</v>
      </c>
      <c r="X56" s="118">
        <v>0</v>
      </c>
      <c r="Y56" s="130">
        <f t="shared" si="0"/>
        <v>0</v>
      </c>
      <c r="Z56" s="113">
        <f t="shared" si="6"/>
        <v>0</v>
      </c>
    </row>
    <row r="57" spans="1:26" hidden="1" x14ac:dyDescent="0.25">
      <c r="A57" s="107"/>
      <c r="B57" s="107"/>
      <c r="C57" s="107"/>
      <c r="D57" s="107"/>
      <c r="E57" s="107"/>
      <c r="F57" s="132" t="s">
        <v>19</v>
      </c>
      <c r="G57" s="107"/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18">
        <v>0</v>
      </c>
      <c r="Q57" s="118">
        <v>0</v>
      </c>
      <c r="R57" s="118">
        <v>0</v>
      </c>
      <c r="S57" s="118">
        <v>0</v>
      </c>
      <c r="T57" s="118">
        <v>0</v>
      </c>
      <c r="U57" s="118">
        <v>0</v>
      </c>
      <c r="V57" s="118">
        <v>0</v>
      </c>
      <c r="W57" s="118">
        <v>0</v>
      </c>
      <c r="X57" s="118">
        <v>0</v>
      </c>
      <c r="Y57" s="130">
        <f t="shared" si="0"/>
        <v>0</v>
      </c>
      <c r="Z57" s="113">
        <f t="shared" si="6"/>
        <v>0</v>
      </c>
    </row>
    <row r="58" spans="1:26" hidden="1" x14ac:dyDescent="0.25">
      <c r="A58" s="107"/>
      <c r="B58" s="107"/>
      <c r="C58" s="107"/>
      <c r="D58" s="107"/>
      <c r="E58" s="107"/>
      <c r="F58" s="132" t="s">
        <v>20</v>
      </c>
      <c r="G58" s="107"/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18">
        <v>0</v>
      </c>
      <c r="S58" s="118">
        <v>0</v>
      </c>
      <c r="T58" s="118">
        <v>0</v>
      </c>
      <c r="U58" s="118">
        <v>0</v>
      </c>
      <c r="V58" s="118">
        <v>0</v>
      </c>
      <c r="W58" s="118">
        <v>0</v>
      </c>
      <c r="X58" s="118">
        <v>0</v>
      </c>
      <c r="Y58" s="130">
        <f t="shared" si="0"/>
        <v>0</v>
      </c>
      <c r="Z58" s="113">
        <f t="shared" si="6"/>
        <v>0</v>
      </c>
    </row>
    <row r="59" spans="1:26" hidden="1" x14ac:dyDescent="0.25">
      <c r="A59" s="107"/>
      <c r="B59" s="107"/>
      <c r="C59" s="107"/>
      <c r="D59" s="107"/>
      <c r="E59" s="107"/>
      <c r="F59" s="132" t="s">
        <v>21</v>
      </c>
      <c r="G59" s="107"/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  <c r="N59" s="118">
        <v>0</v>
      </c>
      <c r="O59" s="118">
        <v>0</v>
      </c>
      <c r="P59" s="118">
        <v>0</v>
      </c>
      <c r="Q59" s="118">
        <v>0</v>
      </c>
      <c r="R59" s="118">
        <v>0</v>
      </c>
      <c r="S59" s="118">
        <v>0</v>
      </c>
      <c r="T59" s="118">
        <v>0</v>
      </c>
      <c r="U59" s="118">
        <v>0</v>
      </c>
      <c r="V59" s="118">
        <v>0</v>
      </c>
      <c r="W59" s="118">
        <v>0</v>
      </c>
      <c r="X59" s="118">
        <v>0</v>
      </c>
      <c r="Y59" s="130">
        <f t="shared" si="0"/>
        <v>0</v>
      </c>
      <c r="Z59" s="113">
        <f t="shared" si="6"/>
        <v>0</v>
      </c>
    </row>
    <row r="60" spans="1:26" ht="15.75" hidden="1" thickBot="1" x14ac:dyDescent="0.3">
      <c r="A60" s="107"/>
      <c r="B60" s="107"/>
      <c r="C60" s="107"/>
      <c r="D60" s="107"/>
      <c r="E60" s="107"/>
      <c r="F60" s="132" t="s">
        <v>22</v>
      </c>
      <c r="G60" s="107"/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  <c r="N60" s="134">
        <v>0</v>
      </c>
      <c r="O60" s="134">
        <v>0</v>
      </c>
      <c r="P60" s="134">
        <v>0</v>
      </c>
      <c r="Q60" s="134">
        <v>0</v>
      </c>
      <c r="R60" s="134">
        <v>0</v>
      </c>
      <c r="S60" s="134">
        <v>0</v>
      </c>
      <c r="T60" s="134">
        <v>0</v>
      </c>
      <c r="U60" s="134">
        <v>0</v>
      </c>
      <c r="V60" s="134">
        <v>0</v>
      </c>
      <c r="W60" s="134">
        <v>0</v>
      </c>
      <c r="X60" s="134">
        <v>0</v>
      </c>
      <c r="Y60" s="135">
        <f t="shared" si="0"/>
        <v>0</v>
      </c>
      <c r="Z60" s="113">
        <f t="shared" si="6"/>
        <v>0</v>
      </c>
    </row>
    <row r="61" spans="1:26" hidden="1" x14ac:dyDescent="0.25">
      <c r="A61" s="107"/>
      <c r="B61" s="107"/>
      <c r="C61" s="107"/>
      <c r="D61" s="107"/>
      <c r="E61" s="107" t="s">
        <v>23</v>
      </c>
      <c r="F61" s="107"/>
      <c r="G61" s="107"/>
      <c r="H61" s="118">
        <f>ROUND(SUM(H39:H60),5)</f>
        <v>0</v>
      </c>
      <c r="I61" s="118">
        <f t="shared" ref="I61:Y61" si="7">ROUND(SUM(I39:I60),5)</f>
        <v>0</v>
      </c>
      <c r="J61" s="118">
        <f t="shared" si="7"/>
        <v>0</v>
      </c>
      <c r="K61" s="118">
        <f t="shared" si="7"/>
        <v>0</v>
      </c>
      <c r="L61" s="118">
        <f t="shared" si="7"/>
        <v>0</v>
      </c>
      <c r="M61" s="118">
        <f t="shared" si="7"/>
        <v>0</v>
      </c>
      <c r="N61" s="118">
        <f t="shared" si="7"/>
        <v>0</v>
      </c>
      <c r="O61" s="118">
        <f t="shared" si="7"/>
        <v>0</v>
      </c>
      <c r="P61" s="118">
        <f t="shared" si="7"/>
        <v>0</v>
      </c>
      <c r="Q61" s="118">
        <f t="shared" si="7"/>
        <v>0</v>
      </c>
      <c r="R61" s="118">
        <f t="shared" si="7"/>
        <v>0</v>
      </c>
      <c r="S61" s="118">
        <f t="shared" si="7"/>
        <v>0</v>
      </c>
      <c r="T61" s="118">
        <f t="shared" si="7"/>
        <v>0</v>
      </c>
      <c r="U61" s="118">
        <f t="shared" si="7"/>
        <v>0</v>
      </c>
      <c r="V61" s="118">
        <f t="shared" si="7"/>
        <v>0</v>
      </c>
      <c r="W61" s="118">
        <f t="shared" si="7"/>
        <v>0</v>
      </c>
      <c r="X61" s="118">
        <f t="shared" si="7"/>
        <v>0</v>
      </c>
      <c r="Y61" s="118">
        <f t="shared" si="7"/>
        <v>0</v>
      </c>
      <c r="Z61" s="113">
        <f t="shared" si="6"/>
        <v>0</v>
      </c>
    </row>
    <row r="62" spans="1:26" hidden="1" x14ac:dyDescent="0.25">
      <c r="A62" s="107"/>
      <c r="B62" s="107"/>
      <c r="C62" s="107"/>
      <c r="D62" s="107"/>
      <c r="E62" s="107" t="s">
        <v>161</v>
      </c>
      <c r="F62" s="107"/>
      <c r="G62" s="107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30"/>
    </row>
    <row r="63" spans="1:26" hidden="1" x14ac:dyDescent="0.25">
      <c r="A63" s="107"/>
      <c r="B63" s="107"/>
      <c r="C63" s="107"/>
      <c r="D63" s="107"/>
      <c r="E63" s="107"/>
      <c r="F63" s="107" t="s">
        <v>40</v>
      </c>
      <c r="G63" s="107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30"/>
    </row>
    <row r="64" spans="1:26" hidden="1" x14ac:dyDescent="0.25">
      <c r="A64" s="107"/>
      <c r="B64" s="107"/>
      <c r="C64" s="107"/>
      <c r="D64" s="107"/>
      <c r="E64" s="107"/>
      <c r="F64" s="132" t="s">
        <v>41</v>
      </c>
      <c r="H64" s="118">
        <v>0</v>
      </c>
      <c r="I64" s="118">
        <v>0</v>
      </c>
      <c r="J64" s="118">
        <v>0</v>
      </c>
      <c r="K64" s="118">
        <v>0</v>
      </c>
      <c r="L64" s="118">
        <v>0</v>
      </c>
      <c r="M64" s="133">
        <v>0</v>
      </c>
      <c r="N64" s="133">
        <v>0</v>
      </c>
      <c r="O64" s="133">
        <v>0</v>
      </c>
      <c r="P64" s="133">
        <v>0</v>
      </c>
      <c r="Q64" s="133">
        <v>0</v>
      </c>
      <c r="R64" s="133">
        <v>0</v>
      </c>
      <c r="S64" s="133">
        <v>0</v>
      </c>
      <c r="T64" s="133">
        <v>0</v>
      </c>
      <c r="U64" s="133">
        <v>0</v>
      </c>
      <c r="V64" s="133">
        <v>0</v>
      </c>
      <c r="W64" s="133">
        <v>0</v>
      </c>
      <c r="X64" s="133">
        <v>0</v>
      </c>
      <c r="Y64" s="130">
        <f t="shared" si="0"/>
        <v>0</v>
      </c>
      <c r="Z64" s="113">
        <f t="shared" ref="Z64:Z74" si="8">ROUND(Y64-H64,0)</f>
        <v>0</v>
      </c>
    </row>
    <row r="65" spans="1:26" hidden="1" x14ac:dyDescent="0.25">
      <c r="A65" s="107"/>
      <c r="B65" s="107"/>
      <c r="C65" s="107"/>
      <c r="D65" s="107"/>
      <c r="E65" s="107"/>
      <c r="F65" s="132" t="s">
        <v>42</v>
      </c>
      <c r="H65" s="118">
        <v>0</v>
      </c>
      <c r="I65" s="118">
        <v>0</v>
      </c>
      <c r="J65" s="118">
        <v>0</v>
      </c>
      <c r="K65" s="118">
        <v>0</v>
      </c>
      <c r="L65" s="118">
        <v>0</v>
      </c>
      <c r="M65" s="133">
        <v>0</v>
      </c>
      <c r="N65" s="133">
        <v>0</v>
      </c>
      <c r="O65" s="133">
        <v>0</v>
      </c>
      <c r="P65" s="133">
        <v>0</v>
      </c>
      <c r="Q65" s="133">
        <v>0</v>
      </c>
      <c r="R65" s="133">
        <v>0</v>
      </c>
      <c r="S65" s="133">
        <v>0</v>
      </c>
      <c r="T65" s="133">
        <v>0</v>
      </c>
      <c r="U65" s="133">
        <v>0</v>
      </c>
      <c r="V65" s="133">
        <v>0</v>
      </c>
      <c r="W65" s="133">
        <v>0</v>
      </c>
      <c r="X65" s="133">
        <v>0</v>
      </c>
      <c r="Y65" s="130">
        <f t="shared" si="0"/>
        <v>0</v>
      </c>
      <c r="Z65" s="113">
        <f t="shared" si="8"/>
        <v>0</v>
      </c>
    </row>
    <row r="66" spans="1:26" hidden="1" x14ac:dyDescent="0.25">
      <c r="A66" s="107"/>
      <c r="B66" s="107"/>
      <c r="C66" s="107"/>
      <c r="D66" s="107"/>
      <c r="E66" s="107"/>
      <c r="F66" s="132" t="s">
        <v>43</v>
      </c>
      <c r="H66" s="118">
        <v>0</v>
      </c>
      <c r="I66" s="118">
        <v>0</v>
      </c>
      <c r="J66" s="118">
        <v>0</v>
      </c>
      <c r="K66" s="118">
        <v>0</v>
      </c>
      <c r="L66" s="118">
        <v>0</v>
      </c>
      <c r="M66" s="133">
        <v>0</v>
      </c>
      <c r="N66" s="133">
        <v>0</v>
      </c>
      <c r="O66" s="133">
        <v>0</v>
      </c>
      <c r="P66" s="133">
        <v>0</v>
      </c>
      <c r="Q66" s="133">
        <v>0</v>
      </c>
      <c r="R66" s="133">
        <v>0</v>
      </c>
      <c r="S66" s="133">
        <v>0</v>
      </c>
      <c r="T66" s="133">
        <v>0</v>
      </c>
      <c r="U66" s="133">
        <v>0</v>
      </c>
      <c r="V66" s="133">
        <v>0</v>
      </c>
      <c r="W66" s="133">
        <v>0</v>
      </c>
      <c r="X66" s="133">
        <v>0</v>
      </c>
      <c r="Y66" s="130">
        <f t="shared" si="0"/>
        <v>0</v>
      </c>
      <c r="Z66" s="113">
        <f t="shared" si="8"/>
        <v>0</v>
      </c>
    </row>
    <row r="67" spans="1:26" hidden="1" x14ac:dyDescent="0.25">
      <c r="A67" s="107"/>
      <c r="B67" s="107"/>
      <c r="C67" s="107"/>
      <c r="D67" s="107"/>
      <c r="E67" s="107"/>
      <c r="F67" s="132" t="s">
        <v>44</v>
      </c>
      <c r="H67" s="118">
        <v>0</v>
      </c>
      <c r="I67" s="118">
        <v>0</v>
      </c>
      <c r="J67" s="118">
        <v>0</v>
      </c>
      <c r="K67" s="118">
        <v>0</v>
      </c>
      <c r="L67" s="118">
        <v>0</v>
      </c>
      <c r="M67" s="133">
        <v>0</v>
      </c>
      <c r="N67" s="133">
        <v>0</v>
      </c>
      <c r="O67" s="133">
        <v>0</v>
      </c>
      <c r="P67" s="133">
        <v>0</v>
      </c>
      <c r="Q67" s="133">
        <v>0</v>
      </c>
      <c r="R67" s="133">
        <v>0</v>
      </c>
      <c r="S67" s="133">
        <v>0</v>
      </c>
      <c r="T67" s="133">
        <v>0</v>
      </c>
      <c r="U67" s="133">
        <v>0</v>
      </c>
      <c r="V67" s="133">
        <v>0</v>
      </c>
      <c r="W67" s="133">
        <v>0</v>
      </c>
      <c r="X67" s="133">
        <v>0</v>
      </c>
      <c r="Y67" s="130">
        <f t="shared" si="0"/>
        <v>0</v>
      </c>
      <c r="Z67" s="113">
        <f t="shared" si="8"/>
        <v>0</v>
      </c>
    </row>
    <row r="68" spans="1:26" hidden="1" x14ac:dyDescent="0.25">
      <c r="A68" s="107"/>
      <c r="B68" s="107"/>
      <c r="C68" s="107"/>
      <c r="D68" s="107"/>
      <c r="E68" s="107"/>
      <c r="F68" s="132" t="s">
        <v>45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33">
        <v>0</v>
      </c>
      <c r="N68" s="133">
        <v>0</v>
      </c>
      <c r="O68" s="133">
        <v>0</v>
      </c>
      <c r="P68" s="133">
        <v>0</v>
      </c>
      <c r="Q68" s="133">
        <v>0</v>
      </c>
      <c r="R68" s="133">
        <v>0</v>
      </c>
      <c r="S68" s="133">
        <v>0</v>
      </c>
      <c r="T68" s="133">
        <v>0</v>
      </c>
      <c r="U68" s="133">
        <v>0</v>
      </c>
      <c r="V68" s="133">
        <v>0</v>
      </c>
      <c r="W68" s="133">
        <v>0</v>
      </c>
      <c r="X68" s="133">
        <v>0</v>
      </c>
      <c r="Y68" s="130">
        <f t="shared" si="0"/>
        <v>0</v>
      </c>
      <c r="Z68" s="113">
        <f t="shared" si="8"/>
        <v>0</v>
      </c>
    </row>
    <row r="69" spans="1:26" hidden="1" x14ac:dyDescent="0.25">
      <c r="A69" s="107"/>
      <c r="B69" s="107"/>
      <c r="C69" s="107"/>
      <c r="D69" s="107"/>
      <c r="E69" s="107"/>
      <c r="F69" s="132" t="s">
        <v>46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33">
        <v>0</v>
      </c>
      <c r="N69" s="133">
        <v>0</v>
      </c>
      <c r="O69" s="133">
        <v>0</v>
      </c>
      <c r="P69" s="133">
        <v>0</v>
      </c>
      <c r="Q69" s="133">
        <v>0</v>
      </c>
      <c r="R69" s="133">
        <v>0</v>
      </c>
      <c r="S69" s="133">
        <v>0</v>
      </c>
      <c r="T69" s="133">
        <v>0</v>
      </c>
      <c r="U69" s="133">
        <v>0</v>
      </c>
      <c r="V69" s="133">
        <v>0</v>
      </c>
      <c r="W69" s="133">
        <v>0</v>
      </c>
      <c r="X69" s="133">
        <v>0</v>
      </c>
      <c r="Y69" s="130">
        <f t="shared" si="0"/>
        <v>0</v>
      </c>
      <c r="Z69" s="113">
        <f t="shared" si="8"/>
        <v>0</v>
      </c>
    </row>
    <row r="70" spans="1:26" hidden="1" x14ac:dyDescent="0.25">
      <c r="A70" s="107"/>
      <c r="B70" s="107"/>
      <c r="C70" s="107"/>
      <c r="D70" s="107"/>
      <c r="E70" s="107"/>
      <c r="F70" s="132" t="s">
        <v>47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33">
        <v>0</v>
      </c>
      <c r="N70" s="133">
        <v>0</v>
      </c>
      <c r="O70" s="133">
        <v>0</v>
      </c>
      <c r="P70" s="133">
        <v>0</v>
      </c>
      <c r="Q70" s="133">
        <v>0</v>
      </c>
      <c r="R70" s="133">
        <v>0</v>
      </c>
      <c r="S70" s="133">
        <v>0</v>
      </c>
      <c r="T70" s="133">
        <v>0</v>
      </c>
      <c r="U70" s="133">
        <v>0</v>
      </c>
      <c r="V70" s="133">
        <v>0</v>
      </c>
      <c r="W70" s="133">
        <v>0</v>
      </c>
      <c r="X70" s="133">
        <v>0</v>
      </c>
      <c r="Y70" s="130">
        <f t="shared" si="0"/>
        <v>0</v>
      </c>
      <c r="Z70" s="113">
        <f t="shared" si="8"/>
        <v>0</v>
      </c>
    </row>
    <row r="71" spans="1:26" hidden="1" x14ac:dyDescent="0.25">
      <c r="A71" s="107"/>
      <c r="B71" s="107"/>
      <c r="C71" s="107"/>
      <c r="D71" s="107"/>
      <c r="E71" s="107"/>
      <c r="F71" s="132" t="s">
        <v>48</v>
      </c>
      <c r="H71" s="118">
        <v>0</v>
      </c>
      <c r="I71" s="118">
        <v>0</v>
      </c>
      <c r="J71" s="118">
        <v>0</v>
      </c>
      <c r="K71" s="118">
        <v>0</v>
      </c>
      <c r="L71" s="118">
        <v>0</v>
      </c>
      <c r="M71" s="133">
        <v>0</v>
      </c>
      <c r="N71" s="133">
        <v>0</v>
      </c>
      <c r="O71" s="133">
        <v>0</v>
      </c>
      <c r="P71" s="133">
        <v>0</v>
      </c>
      <c r="Q71" s="133">
        <v>0</v>
      </c>
      <c r="R71" s="133">
        <v>0</v>
      </c>
      <c r="S71" s="133">
        <v>0</v>
      </c>
      <c r="T71" s="133">
        <v>0</v>
      </c>
      <c r="U71" s="133">
        <v>0</v>
      </c>
      <c r="V71" s="133">
        <v>0</v>
      </c>
      <c r="W71" s="133">
        <v>0</v>
      </c>
      <c r="X71" s="133">
        <v>0</v>
      </c>
      <c r="Y71" s="130">
        <f t="shared" ref="Y71:Y134" si="9">SUM(M71:X71)</f>
        <v>0</v>
      </c>
      <c r="Z71" s="113">
        <f t="shared" si="8"/>
        <v>0</v>
      </c>
    </row>
    <row r="72" spans="1:26" hidden="1" x14ac:dyDescent="0.25">
      <c r="A72" s="107"/>
      <c r="B72" s="107"/>
      <c r="C72" s="107"/>
      <c r="D72" s="107"/>
      <c r="E72" s="107"/>
      <c r="F72" s="132" t="s">
        <v>49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133">
        <v>0</v>
      </c>
      <c r="N72" s="133">
        <v>0</v>
      </c>
      <c r="O72" s="133">
        <v>0</v>
      </c>
      <c r="P72" s="133">
        <v>0</v>
      </c>
      <c r="Q72" s="133">
        <v>0</v>
      </c>
      <c r="R72" s="133">
        <v>0</v>
      </c>
      <c r="S72" s="133">
        <v>0</v>
      </c>
      <c r="T72" s="133">
        <v>0</v>
      </c>
      <c r="U72" s="133">
        <v>0</v>
      </c>
      <c r="V72" s="133">
        <v>0</v>
      </c>
      <c r="W72" s="133">
        <v>0</v>
      </c>
      <c r="X72" s="133">
        <v>0</v>
      </c>
      <c r="Y72" s="130">
        <f t="shared" si="9"/>
        <v>0</v>
      </c>
      <c r="Z72" s="113">
        <f t="shared" si="8"/>
        <v>0</v>
      </c>
    </row>
    <row r="73" spans="1:26" ht="15.75" hidden="1" thickBot="1" x14ac:dyDescent="0.3">
      <c r="A73" s="107"/>
      <c r="B73" s="107"/>
      <c r="C73" s="107"/>
      <c r="D73" s="107"/>
      <c r="E73" s="107"/>
      <c r="F73" s="132" t="s">
        <v>50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34">
        <v>0</v>
      </c>
      <c r="O73" s="134">
        <v>0</v>
      </c>
      <c r="P73" s="134">
        <v>0</v>
      </c>
      <c r="Q73" s="134">
        <v>0</v>
      </c>
      <c r="R73" s="134">
        <v>0</v>
      </c>
      <c r="S73" s="134">
        <v>0</v>
      </c>
      <c r="T73" s="134">
        <v>0</v>
      </c>
      <c r="U73" s="134">
        <v>0</v>
      </c>
      <c r="V73" s="134">
        <v>0</v>
      </c>
      <c r="W73" s="134">
        <v>0</v>
      </c>
      <c r="X73" s="134">
        <v>0</v>
      </c>
      <c r="Y73" s="135">
        <f t="shared" si="9"/>
        <v>0</v>
      </c>
      <c r="Z73" s="113">
        <f t="shared" si="8"/>
        <v>0</v>
      </c>
    </row>
    <row r="74" spans="1:26" hidden="1" x14ac:dyDescent="0.25">
      <c r="A74" s="107"/>
      <c r="B74" s="107"/>
      <c r="C74" s="107"/>
      <c r="D74" s="107"/>
      <c r="E74" s="107"/>
      <c r="F74" s="107" t="s">
        <v>51</v>
      </c>
      <c r="G74" s="107"/>
      <c r="H74" s="118">
        <f>ROUND(SUM(H64:H73),5)</f>
        <v>0</v>
      </c>
      <c r="I74" s="118">
        <f t="shared" ref="I74:Y74" si="10">ROUND(SUM(I64:I73),5)</f>
        <v>0</v>
      </c>
      <c r="J74" s="118">
        <f t="shared" si="10"/>
        <v>0</v>
      </c>
      <c r="K74" s="118">
        <f t="shared" si="10"/>
        <v>0</v>
      </c>
      <c r="L74" s="118">
        <f t="shared" si="10"/>
        <v>0</v>
      </c>
      <c r="M74" s="118">
        <f t="shared" si="10"/>
        <v>0</v>
      </c>
      <c r="N74" s="118">
        <f t="shared" si="10"/>
        <v>0</v>
      </c>
      <c r="O74" s="118">
        <f t="shared" si="10"/>
        <v>0</v>
      </c>
      <c r="P74" s="118">
        <f t="shared" si="10"/>
        <v>0</v>
      </c>
      <c r="Q74" s="118">
        <f t="shared" si="10"/>
        <v>0</v>
      </c>
      <c r="R74" s="118">
        <f t="shared" si="10"/>
        <v>0</v>
      </c>
      <c r="S74" s="118">
        <f t="shared" si="10"/>
        <v>0</v>
      </c>
      <c r="T74" s="118">
        <f t="shared" si="10"/>
        <v>0</v>
      </c>
      <c r="U74" s="118">
        <f t="shared" si="10"/>
        <v>0</v>
      </c>
      <c r="V74" s="118">
        <f t="shared" si="10"/>
        <v>0</v>
      </c>
      <c r="W74" s="118">
        <f t="shared" si="10"/>
        <v>0</v>
      </c>
      <c r="X74" s="118">
        <f t="shared" si="10"/>
        <v>0</v>
      </c>
      <c r="Y74" s="118">
        <f t="shared" si="10"/>
        <v>0</v>
      </c>
      <c r="Z74" s="113">
        <f t="shared" si="8"/>
        <v>0</v>
      </c>
    </row>
    <row r="75" spans="1:26" hidden="1" x14ac:dyDescent="0.25">
      <c r="A75" s="107"/>
      <c r="B75" s="107"/>
      <c r="C75" s="107"/>
      <c r="D75" s="107"/>
      <c r="E75" s="107"/>
      <c r="F75" s="107" t="s">
        <v>32</v>
      </c>
      <c r="G75" s="107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30"/>
    </row>
    <row r="76" spans="1:26" hidden="1" x14ac:dyDescent="0.25">
      <c r="A76" s="107"/>
      <c r="B76" s="107"/>
      <c r="C76" s="107"/>
      <c r="D76" s="107"/>
      <c r="E76" s="107"/>
      <c r="F76" s="132" t="s">
        <v>33</v>
      </c>
      <c r="G76" s="107"/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33">
        <v>0</v>
      </c>
      <c r="N76" s="133">
        <v>0</v>
      </c>
      <c r="O76" s="133">
        <v>0</v>
      </c>
      <c r="P76" s="133">
        <v>0</v>
      </c>
      <c r="Q76" s="133">
        <v>0</v>
      </c>
      <c r="R76" s="133">
        <v>0</v>
      </c>
      <c r="S76" s="133">
        <v>0</v>
      </c>
      <c r="T76" s="133">
        <v>0</v>
      </c>
      <c r="U76" s="133">
        <v>0</v>
      </c>
      <c r="V76" s="133">
        <v>0</v>
      </c>
      <c r="W76" s="133">
        <v>0</v>
      </c>
      <c r="X76" s="133">
        <v>0</v>
      </c>
      <c r="Y76" s="133">
        <v>0</v>
      </c>
      <c r="Z76" s="113">
        <f t="shared" ref="Z76:Z83" si="11">ROUND(Y76-H76,0)</f>
        <v>0</v>
      </c>
    </row>
    <row r="77" spans="1:26" hidden="1" x14ac:dyDescent="0.25">
      <c r="A77" s="107"/>
      <c r="B77" s="107"/>
      <c r="C77" s="107"/>
      <c r="D77" s="107"/>
      <c r="E77" s="107"/>
      <c r="F77" s="132" t="s">
        <v>34</v>
      </c>
      <c r="G77" s="107"/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33">
        <v>0</v>
      </c>
      <c r="N77" s="133">
        <v>0</v>
      </c>
      <c r="O77" s="133">
        <v>0</v>
      </c>
      <c r="P77" s="133">
        <v>0</v>
      </c>
      <c r="Q77" s="133">
        <v>0</v>
      </c>
      <c r="R77" s="133">
        <v>0</v>
      </c>
      <c r="S77" s="133">
        <v>0</v>
      </c>
      <c r="T77" s="133">
        <v>0</v>
      </c>
      <c r="U77" s="133">
        <v>0</v>
      </c>
      <c r="V77" s="133">
        <v>0</v>
      </c>
      <c r="W77" s="133">
        <v>0</v>
      </c>
      <c r="X77" s="133">
        <v>0</v>
      </c>
      <c r="Y77" s="133">
        <v>0</v>
      </c>
      <c r="Z77" s="113">
        <f t="shared" si="11"/>
        <v>0</v>
      </c>
    </row>
    <row r="78" spans="1:26" hidden="1" x14ac:dyDescent="0.25">
      <c r="A78" s="107"/>
      <c r="B78" s="107"/>
      <c r="C78" s="107"/>
      <c r="D78" s="107"/>
      <c r="E78" s="107"/>
      <c r="F78" s="132" t="s">
        <v>35</v>
      </c>
      <c r="G78" s="107"/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33">
        <v>0</v>
      </c>
      <c r="N78" s="133">
        <v>0</v>
      </c>
      <c r="O78" s="133">
        <v>0</v>
      </c>
      <c r="P78" s="133">
        <v>0</v>
      </c>
      <c r="Q78" s="133">
        <v>0</v>
      </c>
      <c r="R78" s="133">
        <v>0</v>
      </c>
      <c r="S78" s="133">
        <v>0</v>
      </c>
      <c r="T78" s="133">
        <v>0</v>
      </c>
      <c r="U78" s="133">
        <v>0</v>
      </c>
      <c r="V78" s="133">
        <v>0</v>
      </c>
      <c r="W78" s="133">
        <v>0</v>
      </c>
      <c r="X78" s="133">
        <v>0</v>
      </c>
      <c r="Y78" s="133">
        <v>0</v>
      </c>
      <c r="Z78" s="113">
        <f t="shared" si="11"/>
        <v>0</v>
      </c>
    </row>
    <row r="79" spans="1:26" hidden="1" x14ac:dyDescent="0.25">
      <c r="A79" s="107"/>
      <c r="B79" s="107"/>
      <c r="C79" s="107"/>
      <c r="D79" s="107"/>
      <c r="E79" s="107"/>
      <c r="F79" s="132" t="s">
        <v>36</v>
      </c>
      <c r="G79" s="107"/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33">
        <v>0</v>
      </c>
      <c r="N79" s="133">
        <v>0</v>
      </c>
      <c r="O79" s="133">
        <v>0</v>
      </c>
      <c r="P79" s="133">
        <v>0</v>
      </c>
      <c r="Q79" s="133">
        <v>0</v>
      </c>
      <c r="R79" s="133">
        <v>0</v>
      </c>
      <c r="S79" s="133">
        <v>0</v>
      </c>
      <c r="T79" s="133">
        <v>0</v>
      </c>
      <c r="U79" s="133">
        <v>0</v>
      </c>
      <c r="V79" s="133">
        <v>0</v>
      </c>
      <c r="W79" s="133">
        <v>0</v>
      </c>
      <c r="X79" s="133">
        <v>0</v>
      </c>
      <c r="Y79" s="133">
        <v>0</v>
      </c>
      <c r="Z79" s="113">
        <f t="shared" si="11"/>
        <v>0</v>
      </c>
    </row>
    <row r="80" spans="1:26" hidden="1" x14ac:dyDescent="0.25">
      <c r="A80" s="107"/>
      <c r="B80" s="107"/>
      <c r="C80" s="107"/>
      <c r="D80" s="107"/>
      <c r="E80" s="107"/>
      <c r="F80" s="132" t="s">
        <v>37</v>
      </c>
      <c r="G80" s="107"/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33">
        <v>0</v>
      </c>
      <c r="N80" s="133">
        <v>0</v>
      </c>
      <c r="O80" s="133">
        <v>0</v>
      </c>
      <c r="P80" s="133">
        <v>0</v>
      </c>
      <c r="Q80" s="133">
        <v>0</v>
      </c>
      <c r="R80" s="133">
        <v>0</v>
      </c>
      <c r="S80" s="133">
        <v>0</v>
      </c>
      <c r="T80" s="133">
        <v>0</v>
      </c>
      <c r="U80" s="133">
        <v>0</v>
      </c>
      <c r="V80" s="133">
        <v>0</v>
      </c>
      <c r="W80" s="133">
        <v>0</v>
      </c>
      <c r="X80" s="133">
        <v>0</v>
      </c>
      <c r="Y80" s="133">
        <v>0</v>
      </c>
      <c r="Z80" s="113">
        <f t="shared" si="11"/>
        <v>0</v>
      </c>
    </row>
    <row r="81" spans="1:26" ht="15.75" hidden="1" thickBot="1" x14ac:dyDescent="0.3">
      <c r="A81" s="107"/>
      <c r="B81" s="107"/>
      <c r="C81" s="107"/>
      <c r="D81" s="107"/>
      <c r="E81" s="107"/>
      <c r="F81" s="132" t="s">
        <v>38</v>
      </c>
      <c r="G81" s="107"/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33">
        <v>0</v>
      </c>
      <c r="N81" s="133">
        <v>0</v>
      </c>
      <c r="O81" s="133">
        <v>0</v>
      </c>
      <c r="P81" s="133">
        <v>0</v>
      </c>
      <c r="Q81" s="133">
        <v>0</v>
      </c>
      <c r="R81" s="133">
        <v>0</v>
      </c>
      <c r="S81" s="133">
        <v>0</v>
      </c>
      <c r="T81" s="133">
        <v>0</v>
      </c>
      <c r="U81" s="133">
        <v>0</v>
      </c>
      <c r="V81" s="133">
        <v>0</v>
      </c>
      <c r="W81" s="133">
        <v>0</v>
      </c>
      <c r="X81" s="133">
        <v>0</v>
      </c>
      <c r="Y81" s="133">
        <v>0</v>
      </c>
      <c r="Z81" s="113">
        <f t="shared" si="11"/>
        <v>0</v>
      </c>
    </row>
    <row r="82" spans="1:26" ht="15.75" hidden="1" thickBot="1" x14ac:dyDescent="0.3">
      <c r="A82" s="107"/>
      <c r="B82" s="107"/>
      <c r="C82" s="107"/>
      <c r="D82" s="107"/>
      <c r="E82" s="107"/>
      <c r="F82" s="107" t="s">
        <v>39</v>
      </c>
      <c r="G82" s="107"/>
      <c r="H82" s="131">
        <f>ROUND(SUM(H76:H81),5)</f>
        <v>0</v>
      </c>
      <c r="I82" s="131">
        <f t="shared" ref="I82:Y82" si="12">ROUND(SUM(I76:I81),5)</f>
        <v>0</v>
      </c>
      <c r="J82" s="131">
        <f t="shared" si="12"/>
        <v>0</v>
      </c>
      <c r="K82" s="131">
        <f t="shared" si="12"/>
        <v>0</v>
      </c>
      <c r="L82" s="131">
        <f t="shared" si="12"/>
        <v>0</v>
      </c>
      <c r="M82" s="131">
        <f t="shared" si="12"/>
        <v>0</v>
      </c>
      <c r="N82" s="131">
        <f t="shared" si="12"/>
        <v>0</v>
      </c>
      <c r="O82" s="131">
        <f t="shared" si="12"/>
        <v>0</v>
      </c>
      <c r="P82" s="131">
        <f t="shared" si="12"/>
        <v>0</v>
      </c>
      <c r="Q82" s="131">
        <f t="shared" si="12"/>
        <v>0</v>
      </c>
      <c r="R82" s="131">
        <f t="shared" si="12"/>
        <v>0</v>
      </c>
      <c r="S82" s="131">
        <f t="shared" si="12"/>
        <v>0</v>
      </c>
      <c r="T82" s="131">
        <f t="shared" si="12"/>
        <v>0</v>
      </c>
      <c r="U82" s="131">
        <f t="shared" si="12"/>
        <v>0</v>
      </c>
      <c r="V82" s="131">
        <f t="shared" si="12"/>
        <v>0</v>
      </c>
      <c r="W82" s="131">
        <f t="shared" si="12"/>
        <v>0</v>
      </c>
      <c r="X82" s="131">
        <f t="shared" si="12"/>
        <v>0</v>
      </c>
      <c r="Y82" s="131">
        <f t="shared" si="12"/>
        <v>0</v>
      </c>
      <c r="Z82" s="113">
        <f t="shared" si="11"/>
        <v>0</v>
      </c>
    </row>
    <row r="83" spans="1:26" hidden="1" x14ac:dyDescent="0.25">
      <c r="A83" s="107"/>
      <c r="B83" s="107"/>
      <c r="C83" s="107"/>
      <c r="D83" s="107"/>
      <c r="E83" s="107" t="s">
        <v>162</v>
      </c>
      <c r="F83" s="107"/>
      <c r="G83" s="107"/>
      <c r="H83" s="118">
        <f>ROUND(H62+H74+H82,5)</f>
        <v>0</v>
      </c>
      <c r="I83" s="118">
        <f t="shared" ref="I83:X83" si="13">ROUND(I62+I74+I82,5)</f>
        <v>0</v>
      </c>
      <c r="J83" s="118">
        <f t="shared" si="13"/>
        <v>0</v>
      </c>
      <c r="K83" s="118">
        <f t="shared" si="13"/>
        <v>0</v>
      </c>
      <c r="L83" s="118">
        <f t="shared" si="13"/>
        <v>0</v>
      </c>
      <c r="M83" s="118">
        <f t="shared" si="13"/>
        <v>0</v>
      </c>
      <c r="N83" s="118">
        <f t="shared" si="13"/>
        <v>0</v>
      </c>
      <c r="O83" s="118">
        <f t="shared" si="13"/>
        <v>0</v>
      </c>
      <c r="P83" s="118">
        <f t="shared" si="13"/>
        <v>0</v>
      </c>
      <c r="Q83" s="118">
        <f t="shared" si="13"/>
        <v>0</v>
      </c>
      <c r="R83" s="118">
        <f t="shared" si="13"/>
        <v>0</v>
      </c>
      <c r="S83" s="118">
        <f t="shared" si="13"/>
        <v>0</v>
      </c>
      <c r="T83" s="118">
        <f t="shared" si="13"/>
        <v>0</v>
      </c>
      <c r="U83" s="118">
        <f t="shared" si="13"/>
        <v>0</v>
      </c>
      <c r="V83" s="118">
        <f t="shared" si="13"/>
        <v>0</v>
      </c>
      <c r="W83" s="118">
        <f t="shared" si="13"/>
        <v>0</v>
      </c>
      <c r="X83" s="118">
        <f t="shared" si="13"/>
        <v>0</v>
      </c>
      <c r="Y83" s="130">
        <f t="shared" si="9"/>
        <v>0</v>
      </c>
      <c r="Z83" s="113">
        <f t="shared" si="11"/>
        <v>0</v>
      </c>
    </row>
    <row r="84" spans="1:26" hidden="1" x14ac:dyDescent="0.25">
      <c r="A84" s="107"/>
      <c r="B84" s="107"/>
      <c r="C84" s="107"/>
      <c r="D84" s="107"/>
      <c r="E84" s="107" t="s">
        <v>52</v>
      </c>
      <c r="F84" s="107"/>
      <c r="G84" s="107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30"/>
    </row>
    <row r="85" spans="1:26" hidden="1" x14ac:dyDescent="0.25">
      <c r="A85" s="107"/>
      <c r="B85" s="107"/>
      <c r="C85" s="107"/>
      <c r="D85" s="107"/>
      <c r="E85" s="107"/>
      <c r="F85" s="132" t="s">
        <v>53</v>
      </c>
      <c r="G85" s="107"/>
      <c r="H85" s="118">
        <v>0</v>
      </c>
      <c r="I85" s="118">
        <v>0</v>
      </c>
      <c r="J85" s="118">
        <v>0</v>
      </c>
      <c r="K85" s="118">
        <v>0</v>
      </c>
      <c r="L85" s="118">
        <v>0</v>
      </c>
      <c r="M85" s="133">
        <v>0</v>
      </c>
      <c r="N85" s="133">
        <v>0</v>
      </c>
      <c r="O85" s="133">
        <v>0</v>
      </c>
      <c r="P85" s="133">
        <v>0</v>
      </c>
      <c r="Q85" s="133">
        <v>0</v>
      </c>
      <c r="R85" s="133">
        <v>0</v>
      </c>
      <c r="S85" s="133">
        <v>0</v>
      </c>
      <c r="T85" s="133">
        <v>0</v>
      </c>
      <c r="U85" s="133">
        <v>0</v>
      </c>
      <c r="V85" s="133">
        <v>0</v>
      </c>
      <c r="W85" s="133">
        <v>0</v>
      </c>
      <c r="X85" s="133">
        <v>0</v>
      </c>
      <c r="Y85" s="130">
        <f t="shared" si="9"/>
        <v>0</v>
      </c>
      <c r="Z85" s="113">
        <f t="shared" ref="Z85:Z116" si="14">ROUND(Y85-H85,0)</f>
        <v>0</v>
      </c>
    </row>
    <row r="86" spans="1:26" hidden="1" x14ac:dyDescent="0.25">
      <c r="A86" s="107"/>
      <c r="B86" s="107"/>
      <c r="C86" s="107"/>
      <c r="D86" s="107"/>
      <c r="E86" s="107"/>
      <c r="F86" s="132" t="s">
        <v>54</v>
      </c>
      <c r="G86" s="107"/>
      <c r="H86" s="118">
        <v>0</v>
      </c>
      <c r="I86" s="118">
        <v>0</v>
      </c>
      <c r="J86" s="118">
        <v>0</v>
      </c>
      <c r="K86" s="118">
        <v>0</v>
      </c>
      <c r="L86" s="118">
        <v>0</v>
      </c>
      <c r="M86" s="133">
        <v>0</v>
      </c>
      <c r="N86" s="133">
        <v>0</v>
      </c>
      <c r="O86" s="133">
        <v>0</v>
      </c>
      <c r="P86" s="133">
        <v>0</v>
      </c>
      <c r="Q86" s="133">
        <v>0</v>
      </c>
      <c r="R86" s="133">
        <v>0</v>
      </c>
      <c r="S86" s="133">
        <v>0</v>
      </c>
      <c r="T86" s="133">
        <v>0</v>
      </c>
      <c r="U86" s="133">
        <v>0</v>
      </c>
      <c r="V86" s="133">
        <v>0</v>
      </c>
      <c r="W86" s="133">
        <v>0</v>
      </c>
      <c r="X86" s="133">
        <v>0</v>
      </c>
      <c r="Y86" s="130">
        <f t="shared" si="9"/>
        <v>0</v>
      </c>
      <c r="Z86" s="113">
        <f t="shared" si="14"/>
        <v>0</v>
      </c>
    </row>
    <row r="87" spans="1:26" hidden="1" x14ac:dyDescent="0.25">
      <c r="A87" s="107"/>
      <c r="B87" s="107"/>
      <c r="C87" s="107"/>
      <c r="D87" s="107"/>
      <c r="E87" s="107"/>
      <c r="F87" s="132" t="s">
        <v>55</v>
      </c>
      <c r="G87" s="107"/>
      <c r="H87" s="118">
        <v>0</v>
      </c>
      <c r="I87" s="118">
        <v>0</v>
      </c>
      <c r="J87" s="118">
        <v>0</v>
      </c>
      <c r="K87" s="118">
        <v>0</v>
      </c>
      <c r="L87" s="118">
        <v>0</v>
      </c>
      <c r="M87" s="133">
        <v>0</v>
      </c>
      <c r="N87" s="133">
        <v>0</v>
      </c>
      <c r="O87" s="133">
        <v>0</v>
      </c>
      <c r="P87" s="133">
        <v>0</v>
      </c>
      <c r="Q87" s="133">
        <v>0</v>
      </c>
      <c r="R87" s="133">
        <v>0</v>
      </c>
      <c r="S87" s="133">
        <v>0</v>
      </c>
      <c r="T87" s="133">
        <v>0</v>
      </c>
      <c r="U87" s="133">
        <v>0</v>
      </c>
      <c r="V87" s="133">
        <v>0</v>
      </c>
      <c r="W87" s="133">
        <v>0</v>
      </c>
      <c r="X87" s="133">
        <v>0</v>
      </c>
      <c r="Y87" s="130">
        <f t="shared" si="9"/>
        <v>0</v>
      </c>
      <c r="Z87" s="113">
        <f t="shared" si="14"/>
        <v>0</v>
      </c>
    </row>
    <row r="88" spans="1:26" hidden="1" x14ac:dyDescent="0.25">
      <c r="A88" s="107"/>
      <c r="B88" s="107"/>
      <c r="C88" s="107"/>
      <c r="D88" s="107"/>
      <c r="E88" s="107"/>
      <c r="F88" s="132" t="s">
        <v>56</v>
      </c>
      <c r="G88" s="107"/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33">
        <v>0</v>
      </c>
      <c r="N88" s="133">
        <v>0</v>
      </c>
      <c r="O88" s="133">
        <v>0</v>
      </c>
      <c r="P88" s="133">
        <v>0</v>
      </c>
      <c r="Q88" s="133">
        <v>0</v>
      </c>
      <c r="R88" s="133">
        <v>0</v>
      </c>
      <c r="S88" s="133">
        <v>0</v>
      </c>
      <c r="T88" s="133">
        <v>0</v>
      </c>
      <c r="U88" s="133">
        <v>0</v>
      </c>
      <c r="V88" s="133">
        <v>0</v>
      </c>
      <c r="W88" s="133">
        <v>0</v>
      </c>
      <c r="X88" s="133">
        <v>0</v>
      </c>
      <c r="Y88" s="130">
        <f t="shared" si="9"/>
        <v>0</v>
      </c>
      <c r="Z88" s="113">
        <f t="shared" si="14"/>
        <v>0</v>
      </c>
    </row>
    <row r="89" spans="1:26" hidden="1" x14ac:dyDescent="0.25">
      <c r="A89" s="107"/>
      <c r="B89" s="107"/>
      <c r="C89" s="107"/>
      <c r="D89" s="107"/>
      <c r="E89" s="107"/>
      <c r="F89" s="132" t="s">
        <v>57</v>
      </c>
      <c r="G89" s="107"/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33">
        <v>0</v>
      </c>
      <c r="N89" s="133">
        <v>0</v>
      </c>
      <c r="O89" s="133">
        <v>0</v>
      </c>
      <c r="P89" s="133">
        <v>0</v>
      </c>
      <c r="Q89" s="133">
        <v>0</v>
      </c>
      <c r="R89" s="133">
        <v>0</v>
      </c>
      <c r="S89" s="133">
        <v>0</v>
      </c>
      <c r="T89" s="133">
        <v>0</v>
      </c>
      <c r="U89" s="133">
        <v>0</v>
      </c>
      <c r="V89" s="133">
        <v>0</v>
      </c>
      <c r="W89" s="133">
        <v>0</v>
      </c>
      <c r="X89" s="133">
        <v>0</v>
      </c>
      <c r="Y89" s="130">
        <f t="shared" si="9"/>
        <v>0</v>
      </c>
      <c r="Z89" s="113">
        <f t="shared" si="14"/>
        <v>0</v>
      </c>
    </row>
    <row r="90" spans="1:26" hidden="1" x14ac:dyDescent="0.25">
      <c r="A90" s="107"/>
      <c r="B90" s="107"/>
      <c r="C90" s="107"/>
      <c r="D90" s="107"/>
      <c r="E90" s="107"/>
      <c r="F90" s="132" t="s">
        <v>58</v>
      </c>
      <c r="G90" s="107"/>
      <c r="H90" s="118">
        <v>0</v>
      </c>
      <c r="I90" s="118">
        <v>0</v>
      </c>
      <c r="J90" s="118">
        <v>0</v>
      </c>
      <c r="K90" s="118">
        <v>0</v>
      </c>
      <c r="L90" s="118">
        <v>0</v>
      </c>
      <c r="M90" s="133">
        <v>0</v>
      </c>
      <c r="N90" s="133">
        <v>0</v>
      </c>
      <c r="O90" s="133">
        <v>0</v>
      </c>
      <c r="P90" s="133">
        <v>0</v>
      </c>
      <c r="Q90" s="133">
        <v>0</v>
      </c>
      <c r="R90" s="133">
        <v>0</v>
      </c>
      <c r="S90" s="133">
        <v>0</v>
      </c>
      <c r="T90" s="133">
        <v>0</v>
      </c>
      <c r="U90" s="133">
        <v>0</v>
      </c>
      <c r="V90" s="133">
        <v>0</v>
      </c>
      <c r="W90" s="133">
        <v>0</v>
      </c>
      <c r="X90" s="133">
        <v>0</v>
      </c>
      <c r="Y90" s="130">
        <f t="shared" si="9"/>
        <v>0</v>
      </c>
      <c r="Z90" s="113">
        <f t="shared" si="14"/>
        <v>0</v>
      </c>
    </row>
    <row r="91" spans="1:26" hidden="1" x14ac:dyDescent="0.25">
      <c r="A91" s="107"/>
      <c r="B91" s="107"/>
      <c r="C91" s="107"/>
      <c r="D91" s="107"/>
      <c r="E91" s="107"/>
      <c r="F91" s="132" t="s">
        <v>59</v>
      </c>
      <c r="G91" s="107"/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33">
        <v>0</v>
      </c>
      <c r="N91" s="133">
        <v>0</v>
      </c>
      <c r="O91" s="133">
        <v>0</v>
      </c>
      <c r="P91" s="133">
        <v>0</v>
      </c>
      <c r="Q91" s="133">
        <v>0</v>
      </c>
      <c r="R91" s="133">
        <v>0</v>
      </c>
      <c r="S91" s="133">
        <v>0</v>
      </c>
      <c r="T91" s="133">
        <v>0</v>
      </c>
      <c r="U91" s="133">
        <v>0</v>
      </c>
      <c r="V91" s="133">
        <v>0</v>
      </c>
      <c r="W91" s="133">
        <v>0</v>
      </c>
      <c r="X91" s="133">
        <v>0</v>
      </c>
      <c r="Y91" s="130">
        <f t="shared" si="9"/>
        <v>0</v>
      </c>
      <c r="Z91" s="113">
        <f t="shared" si="14"/>
        <v>0</v>
      </c>
    </row>
    <row r="92" spans="1:26" hidden="1" x14ac:dyDescent="0.25">
      <c r="A92" s="107"/>
      <c r="B92" s="107"/>
      <c r="C92" s="107"/>
      <c r="D92" s="107"/>
      <c r="E92" s="107"/>
      <c r="F92" s="132" t="s">
        <v>60</v>
      </c>
      <c r="G92" s="107"/>
      <c r="H92" s="118">
        <v>0</v>
      </c>
      <c r="I92" s="118">
        <v>0</v>
      </c>
      <c r="J92" s="118">
        <v>0</v>
      </c>
      <c r="K92" s="118">
        <v>0</v>
      </c>
      <c r="L92" s="118">
        <v>0</v>
      </c>
      <c r="M92" s="133">
        <v>0</v>
      </c>
      <c r="N92" s="133">
        <v>0</v>
      </c>
      <c r="O92" s="133">
        <v>0</v>
      </c>
      <c r="P92" s="133">
        <v>0</v>
      </c>
      <c r="Q92" s="133">
        <v>0</v>
      </c>
      <c r="R92" s="133">
        <v>0</v>
      </c>
      <c r="S92" s="133">
        <v>0</v>
      </c>
      <c r="T92" s="133">
        <v>0</v>
      </c>
      <c r="U92" s="133">
        <v>0</v>
      </c>
      <c r="V92" s="133">
        <v>0</v>
      </c>
      <c r="W92" s="133">
        <v>0</v>
      </c>
      <c r="X92" s="133">
        <v>0</v>
      </c>
      <c r="Y92" s="130">
        <f t="shared" si="9"/>
        <v>0</v>
      </c>
      <c r="Z92" s="113">
        <f t="shared" si="14"/>
        <v>0</v>
      </c>
    </row>
    <row r="93" spans="1:26" hidden="1" x14ac:dyDescent="0.25">
      <c r="A93" s="107"/>
      <c r="B93" s="107"/>
      <c r="C93" s="107"/>
      <c r="D93" s="107"/>
      <c r="E93" s="107"/>
      <c r="F93" s="132" t="s">
        <v>305</v>
      </c>
      <c r="G93" s="107"/>
      <c r="H93" s="118">
        <v>0</v>
      </c>
      <c r="I93" s="118">
        <v>0</v>
      </c>
      <c r="J93" s="118">
        <v>0</v>
      </c>
      <c r="K93" s="118">
        <v>0</v>
      </c>
      <c r="L93" s="118">
        <v>0</v>
      </c>
      <c r="M93" s="133">
        <v>0</v>
      </c>
      <c r="N93" s="133">
        <v>0</v>
      </c>
      <c r="O93" s="133">
        <v>0</v>
      </c>
      <c r="P93" s="133">
        <v>0</v>
      </c>
      <c r="Q93" s="133">
        <v>0</v>
      </c>
      <c r="R93" s="133">
        <v>0</v>
      </c>
      <c r="S93" s="133">
        <v>0</v>
      </c>
      <c r="T93" s="133">
        <v>0</v>
      </c>
      <c r="U93" s="133">
        <v>0</v>
      </c>
      <c r="V93" s="133">
        <v>0</v>
      </c>
      <c r="W93" s="133">
        <v>0</v>
      </c>
      <c r="X93" s="133">
        <v>0</v>
      </c>
      <c r="Y93" s="130">
        <f t="shared" si="9"/>
        <v>0</v>
      </c>
      <c r="Z93" s="113">
        <f t="shared" si="14"/>
        <v>0</v>
      </c>
    </row>
    <row r="94" spans="1:26" hidden="1" x14ac:dyDescent="0.25">
      <c r="A94" s="107"/>
      <c r="B94" s="107"/>
      <c r="C94" s="107"/>
      <c r="D94" s="107"/>
      <c r="E94" s="107"/>
      <c r="F94" s="132" t="s">
        <v>163</v>
      </c>
      <c r="G94" s="107"/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33">
        <v>0</v>
      </c>
      <c r="N94" s="133">
        <v>0</v>
      </c>
      <c r="O94" s="133">
        <v>0</v>
      </c>
      <c r="P94" s="133">
        <v>0</v>
      </c>
      <c r="Q94" s="133">
        <v>0</v>
      </c>
      <c r="R94" s="133">
        <v>0</v>
      </c>
      <c r="S94" s="133">
        <v>0</v>
      </c>
      <c r="T94" s="133">
        <v>0</v>
      </c>
      <c r="U94" s="133">
        <v>0</v>
      </c>
      <c r="V94" s="133">
        <v>0</v>
      </c>
      <c r="W94" s="133">
        <v>0</v>
      </c>
      <c r="X94" s="133">
        <v>0</v>
      </c>
      <c r="Y94" s="130">
        <f t="shared" si="9"/>
        <v>0</v>
      </c>
      <c r="Z94" s="113">
        <f t="shared" si="14"/>
        <v>0</v>
      </c>
    </row>
    <row r="95" spans="1:26" hidden="1" x14ac:dyDescent="0.25">
      <c r="A95" s="107"/>
      <c r="B95" s="107"/>
      <c r="C95" s="107"/>
      <c r="D95" s="107"/>
      <c r="E95" s="107"/>
      <c r="F95" s="132" t="s">
        <v>62</v>
      </c>
      <c r="G95" s="107"/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33">
        <v>0</v>
      </c>
      <c r="N95" s="133">
        <v>0</v>
      </c>
      <c r="O95" s="133">
        <v>0</v>
      </c>
      <c r="P95" s="133">
        <v>0</v>
      </c>
      <c r="Q95" s="133">
        <v>0</v>
      </c>
      <c r="R95" s="133">
        <v>0</v>
      </c>
      <c r="S95" s="133">
        <v>0</v>
      </c>
      <c r="T95" s="133">
        <v>0</v>
      </c>
      <c r="U95" s="133">
        <v>0</v>
      </c>
      <c r="V95" s="133">
        <v>0</v>
      </c>
      <c r="W95" s="133">
        <v>0</v>
      </c>
      <c r="X95" s="133">
        <v>0</v>
      </c>
      <c r="Y95" s="130">
        <f t="shared" si="9"/>
        <v>0</v>
      </c>
      <c r="Z95" s="113">
        <f t="shared" si="14"/>
        <v>0</v>
      </c>
    </row>
    <row r="96" spans="1:26" hidden="1" x14ac:dyDescent="0.25">
      <c r="A96" s="107"/>
      <c r="B96" s="107"/>
      <c r="C96" s="107"/>
      <c r="D96" s="107"/>
      <c r="E96" s="107"/>
      <c r="F96" s="132" t="s">
        <v>63</v>
      </c>
      <c r="G96" s="107"/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33">
        <v>0</v>
      </c>
      <c r="N96" s="133">
        <v>0</v>
      </c>
      <c r="O96" s="133">
        <v>0</v>
      </c>
      <c r="P96" s="133">
        <v>0</v>
      </c>
      <c r="Q96" s="133">
        <v>0</v>
      </c>
      <c r="R96" s="133">
        <v>0</v>
      </c>
      <c r="S96" s="133">
        <v>0</v>
      </c>
      <c r="T96" s="133">
        <v>0</v>
      </c>
      <c r="U96" s="133">
        <v>0</v>
      </c>
      <c r="V96" s="133">
        <v>0</v>
      </c>
      <c r="W96" s="133">
        <v>0</v>
      </c>
      <c r="X96" s="133">
        <v>0</v>
      </c>
      <c r="Y96" s="130">
        <f t="shared" si="9"/>
        <v>0</v>
      </c>
      <c r="Z96" s="113">
        <f t="shared" si="14"/>
        <v>0</v>
      </c>
    </row>
    <row r="97" spans="1:26" hidden="1" x14ac:dyDescent="0.25">
      <c r="A97" s="107"/>
      <c r="B97" s="107"/>
      <c r="C97" s="107"/>
      <c r="D97" s="107"/>
      <c r="E97" s="107"/>
      <c r="F97" s="132" t="s">
        <v>64</v>
      </c>
      <c r="G97" s="107"/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33">
        <v>0</v>
      </c>
      <c r="N97" s="133">
        <v>0</v>
      </c>
      <c r="O97" s="133">
        <v>0</v>
      </c>
      <c r="P97" s="133">
        <v>0</v>
      </c>
      <c r="Q97" s="133">
        <v>0</v>
      </c>
      <c r="R97" s="133">
        <v>0</v>
      </c>
      <c r="S97" s="133">
        <v>0</v>
      </c>
      <c r="T97" s="133">
        <v>0</v>
      </c>
      <c r="U97" s="133">
        <v>0</v>
      </c>
      <c r="V97" s="133">
        <v>0</v>
      </c>
      <c r="W97" s="133">
        <v>0</v>
      </c>
      <c r="X97" s="133">
        <v>0</v>
      </c>
      <c r="Y97" s="130">
        <f t="shared" si="9"/>
        <v>0</v>
      </c>
      <c r="Z97" s="113">
        <f t="shared" si="14"/>
        <v>0</v>
      </c>
    </row>
    <row r="98" spans="1:26" hidden="1" x14ac:dyDescent="0.25">
      <c r="A98" s="107"/>
      <c r="B98" s="107"/>
      <c r="C98" s="107"/>
      <c r="D98" s="107"/>
      <c r="E98" s="107"/>
      <c r="F98" s="132" t="s">
        <v>65</v>
      </c>
      <c r="G98" s="107"/>
      <c r="H98" s="118">
        <v>0</v>
      </c>
      <c r="I98" s="118">
        <v>0</v>
      </c>
      <c r="J98" s="118">
        <v>0</v>
      </c>
      <c r="K98" s="118">
        <v>0</v>
      </c>
      <c r="L98" s="118">
        <v>0</v>
      </c>
      <c r="M98" s="133">
        <v>0</v>
      </c>
      <c r="N98" s="133">
        <v>0</v>
      </c>
      <c r="O98" s="133">
        <v>0</v>
      </c>
      <c r="P98" s="133">
        <v>0</v>
      </c>
      <c r="Q98" s="133">
        <v>0</v>
      </c>
      <c r="R98" s="133">
        <v>0</v>
      </c>
      <c r="S98" s="133">
        <v>0</v>
      </c>
      <c r="T98" s="133">
        <v>0</v>
      </c>
      <c r="U98" s="133">
        <v>0</v>
      </c>
      <c r="V98" s="133">
        <v>0</v>
      </c>
      <c r="W98" s="133">
        <v>0</v>
      </c>
      <c r="X98" s="133">
        <v>0</v>
      </c>
      <c r="Y98" s="130">
        <f t="shared" si="9"/>
        <v>0</v>
      </c>
      <c r="Z98" s="113">
        <f t="shared" si="14"/>
        <v>0</v>
      </c>
    </row>
    <row r="99" spans="1:26" hidden="1" x14ac:dyDescent="0.25">
      <c r="A99" s="107"/>
      <c r="B99" s="107"/>
      <c r="C99" s="107"/>
      <c r="D99" s="107"/>
      <c r="E99" s="107"/>
      <c r="F99" s="132" t="s">
        <v>66</v>
      </c>
      <c r="G99" s="107"/>
      <c r="H99" s="118">
        <v>0</v>
      </c>
      <c r="I99" s="118">
        <v>0</v>
      </c>
      <c r="J99" s="118">
        <v>0</v>
      </c>
      <c r="K99" s="118">
        <v>0</v>
      </c>
      <c r="L99" s="118">
        <v>0</v>
      </c>
      <c r="M99" s="133">
        <v>0</v>
      </c>
      <c r="N99" s="133">
        <v>0</v>
      </c>
      <c r="O99" s="133">
        <v>0</v>
      </c>
      <c r="P99" s="133">
        <v>0</v>
      </c>
      <c r="Q99" s="133">
        <v>0</v>
      </c>
      <c r="R99" s="133">
        <v>0</v>
      </c>
      <c r="S99" s="133">
        <v>0</v>
      </c>
      <c r="T99" s="133">
        <v>0</v>
      </c>
      <c r="U99" s="133">
        <v>0</v>
      </c>
      <c r="V99" s="133">
        <v>0</v>
      </c>
      <c r="W99" s="133">
        <v>0</v>
      </c>
      <c r="X99" s="133">
        <v>0</v>
      </c>
      <c r="Y99" s="130">
        <f t="shared" si="9"/>
        <v>0</v>
      </c>
      <c r="Z99" s="113">
        <f t="shared" si="14"/>
        <v>0</v>
      </c>
    </row>
    <row r="100" spans="1:26" hidden="1" x14ac:dyDescent="0.25">
      <c r="A100" s="107"/>
      <c r="B100" s="107"/>
      <c r="C100" s="107"/>
      <c r="D100" s="107"/>
      <c r="E100" s="107"/>
      <c r="F100" s="132" t="s">
        <v>67</v>
      </c>
      <c r="G100" s="107"/>
      <c r="H100" s="118">
        <v>0</v>
      </c>
      <c r="I100" s="118">
        <v>0</v>
      </c>
      <c r="J100" s="118">
        <v>0</v>
      </c>
      <c r="K100" s="118">
        <v>0</v>
      </c>
      <c r="L100" s="118">
        <v>0</v>
      </c>
      <c r="M100" s="133">
        <v>0</v>
      </c>
      <c r="N100" s="133">
        <v>0</v>
      </c>
      <c r="O100" s="133">
        <v>0</v>
      </c>
      <c r="P100" s="133">
        <v>0</v>
      </c>
      <c r="Q100" s="133">
        <v>0</v>
      </c>
      <c r="R100" s="133">
        <v>0</v>
      </c>
      <c r="S100" s="133">
        <v>0</v>
      </c>
      <c r="T100" s="133">
        <v>0</v>
      </c>
      <c r="U100" s="133">
        <v>0</v>
      </c>
      <c r="V100" s="133">
        <v>0</v>
      </c>
      <c r="W100" s="133">
        <v>0</v>
      </c>
      <c r="X100" s="133">
        <v>0</v>
      </c>
      <c r="Y100" s="130">
        <f t="shared" si="9"/>
        <v>0</v>
      </c>
      <c r="Z100" s="113">
        <f t="shared" si="14"/>
        <v>0</v>
      </c>
    </row>
    <row r="101" spans="1:26" hidden="1" x14ac:dyDescent="0.25">
      <c r="A101" s="107"/>
      <c r="B101" s="107"/>
      <c r="C101" s="107"/>
      <c r="D101" s="107"/>
      <c r="E101" s="107"/>
      <c r="F101" s="132" t="s">
        <v>68</v>
      </c>
      <c r="G101" s="107"/>
      <c r="H101" s="118">
        <v>0</v>
      </c>
      <c r="I101" s="118">
        <v>0</v>
      </c>
      <c r="J101" s="118">
        <v>0</v>
      </c>
      <c r="K101" s="118">
        <v>0</v>
      </c>
      <c r="L101" s="118">
        <v>0</v>
      </c>
      <c r="M101" s="133">
        <v>0</v>
      </c>
      <c r="N101" s="133">
        <v>0</v>
      </c>
      <c r="O101" s="133">
        <v>0</v>
      </c>
      <c r="P101" s="133">
        <v>0</v>
      </c>
      <c r="Q101" s="133">
        <v>0</v>
      </c>
      <c r="R101" s="133">
        <v>0</v>
      </c>
      <c r="S101" s="133">
        <v>0</v>
      </c>
      <c r="T101" s="133">
        <v>0</v>
      </c>
      <c r="U101" s="133">
        <v>0</v>
      </c>
      <c r="V101" s="133">
        <v>0</v>
      </c>
      <c r="W101" s="133">
        <v>0</v>
      </c>
      <c r="X101" s="133">
        <v>0</v>
      </c>
      <c r="Y101" s="130">
        <f t="shared" si="9"/>
        <v>0</v>
      </c>
      <c r="Z101" s="113">
        <f t="shared" si="14"/>
        <v>0</v>
      </c>
    </row>
    <row r="102" spans="1:26" hidden="1" x14ac:dyDescent="0.25">
      <c r="A102" s="107"/>
      <c r="B102" s="107"/>
      <c r="C102" s="107"/>
      <c r="D102" s="107"/>
      <c r="E102" s="107"/>
      <c r="F102" s="132" t="s">
        <v>69</v>
      </c>
      <c r="G102" s="107"/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33">
        <v>0</v>
      </c>
      <c r="N102" s="133">
        <v>0</v>
      </c>
      <c r="O102" s="133">
        <v>0</v>
      </c>
      <c r="P102" s="133">
        <v>0</v>
      </c>
      <c r="Q102" s="133">
        <v>0</v>
      </c>
      <c r="R102" s="133">
        <v>0</v>
      </c>
      <c r="S102" s="133">
        <v>0</v>
      </c>
      <c r="T102" s="133">
        <v>0</v>
      </c>
      <c r="U102" s="133">
        <v>0</v>
      </c>
      <c r="V102" s="133">
        <v>0</v>
      </c>
      <c r="W102" s="133">
        <v>0</v>
      </c>
      <c r="X102" s="133">
        <v>0</v>
      </c>
      <c r="Y102" s="130">
        <f t="shared" si="9"/>
        <v>0</v>
      </c>
      <c r="Z102" s="113">
        <f t="shared" si="14"/>
        <v>0</v>
      </c>
    </row>
    <row r="103" spans="1:26" hidden="1" x14ac:dyDescent="0.25">
      <c r="A103" s="107"/>
      <c r="B103" s="107"/>
      <c r="C103" s="107"/>
      <c r="D103" s="107"/>
      <c r="E103" s="107"/>
      <c r="F103" s="132" t="s">
        <v>70</v>
      </c>
      <c r="G103" s="107"/>
      <c r="H103" s="118">
        <v>0</v>
      </c>
      <c r="I103" s="118">
        <v>0</v>
      </c>
      <c r="J103" s="118">
        <v>0</v>
      </c>
      <c r="K103" s="118">
        <v>0</v>
      </c>
      <c r="L103" s="118">
        <v>0</v>
      </c>
      <c r="M103" s="133">
        <v>0</v>
      </c>
      <c r="N103" s="133">
        <v>0</v>
      </c>
      <c r="O103" s="133">
        <v>0</v>
      </c>
      <c r="P103" s="133">
        <v>0</v>
      </c>
      <c r="Q103" s="133">
        <v>0</v>
      </c>
      <c r="R103" s="133">
        <v>0</v>
      </c>
      <c r="S103" s="133">
        <v>0</v>
      </c>
      <c r="T103" s="133">
        <v>0</v>
      </c>
      <c r="U103" s="133">
        <v>0</v>
      </c>
      <c r="V103" s="133">
        <v>0</v>
      </c>
      <c r="W103" s="133">
        <v>0</v>
      </c>
      <c r="X103" s="133">
        <v>0</v>
      </c>
      <c r="Y103" s="130">
        <f t="shared" si="9"/>
        <v>0</v>
      </c>
      <c r="Z103" s="113">
        <f t="shared" si="14"/>
        <v>0</v>
      </c>
    </row>
    <row r="104" spans="1:26" hidden="1" x14ac:dyDescent="0.25">
      <c r="A104" s="107"/>
      <c r="B104" s="107"/>
      <c r="C104" s="107"/>
      <c r="D104" s="107"/>
      <c r="E104" s="107"/>
      <c r="F104" s="132" t="s">
        <v>71</v>
      </c>
      <c r="G104" s="107"/>
      <c r="H104" s="118">
        <v>0</v>
      </c>
      <c r="I104" s="118">
        <v>0</v>
      </c>
      <c r="J104" s="118">
        <v>0</v>
      </c>
      <c r="K104" s="118">
        <v>0</v>
      </c>
      <c r="L104" s="118">
        <v>0</v>
      </c>
      <c r="M104" s="133">
        <v>0</v>
      </c>
      <c r="N104" s="133">
        <v>0</v>
      </c>
      <c r="O104" s="133">
        <v>0</v>
      </c>
      <c r="P104" s="133">
        <v>0</v>
      </c>
      <c r="Q104" s="133">
        <v>0</v>
      </c>
      <c r="R104" s="133">
        <v>0</v>
      </c>
      <c r="S104" s="133">
        <v>0</v>
      </c>
      <c r="T104" s="133">
        <v>0</v>
      </c>
      <c r="U104" s="133">
        <v>0</v>
      </c>
      <c r="V104" s="133">
        <v>0</v>
      </c>
      <c r="W104" s="133">
        <v>0</v>
      </c>
      <c r="X104" s="133">
        <v>0</v>
      </c>
      <c r="Y104" s="130">
        <f t="shared" si="9"/>
        <v>0</v>
      </c>
      <c r="Z104" s="113">
        <f t="shared" si="14"/>
        <v>0</v>
      </c>
    </row>
    <row r="105" spans="1:26" hidden="1" x14ac:dyDescent="0.25">
      <c r="A105" s="107"/>
      <c r="B105" s="107"/>
      <c r="C105" s="107"/>
      <c r="D105" s="107"/>
      <c r="E105" s="107"/>
      <c r="F105" s="132" t="s">
        <v>72</v>
      </c>
      <c r="G105" s="107"/>
      <c r="H105" s="118">
        <v>0</v>
      </c>
      <c r="I105" s="118">
        <v>0</v>
      </c>
      <c r="J105" s="118">
        <v>0</v>
      </c>
      <c r="K105" s="118">
        <v>0</v>
      </c>
      <c r="L105" s="118">
        <v>0</v>
      </c>
      <c r="M105" s="133">
        <v>0</v>
      </c>
      <c r="N105" s="133">
        <v>0</v>
      </c>
      <c r="O105" s="133">
        <v>0</v>
      </c>
      <c r="P105" s="133">
        <v>0</v>
      </c>
      <c r="Q105" s="133">
        <v>0</v>
      </c>
      <c r="R105" s="133">
        <v>0</v>
      </c>
      <c r="S105" s="133">
        <v>0</v>
      </c>
      <c r="T105" s="133">
        <v>0</v>
      </c>
      <c r="U105" s="133">
        <v>0</v>
      </c>
      <c r="V105" s="133">
        <v>0</v>
      </c>
      <c r="W105" s="133">
        <v>0</v>
      </c>
      <c r="X105" s="133">
        <v>0</v>
      </c>
      <c r="Y105" s="130">
        <f t="shared" si="9"/>
        <v>0</v>
      </c>
      <c r="Z105" s="113">
        <f t="shared" si="14"/>
        <v>0</v>
      </c>
    </row>
    <row r="106" spans="1:26" hidden="1" x14ac:dyDescent="0.25">
      <c r="A106" s="107"/>
      <c r="B106" s="107"/>
      <c r="C106" s="107"/>
      <c r="D106" s="107"/>
      <c r="E106" s="107"/>
      <c r="F106" s="132" t="s">
        <v>73</v>
      </c>
      <c r="G106" s="107"/>
      <c r="H106" s="118">
        <v>0</v>
      </c>
      <c r="I106" s="118">
        <v>0</v>
      </c>
      <c r="J106" s="118">
        <v>0</v>
      </c>
      <c r="K106" s="118">
        <v>0</v>
      </c>
      <c r="L106" s="118">
        <v>0</v>
      </c>
      <c r="M106" s="133">
        <v>0</v>
      </c>
      <c r="N106" s="133">
        <v>0</v>
      </c>
      <c r="O106" s="133">
        <v>0</v>
      </c>
      <c r="P106" s="133">
        <v>0</v>
      </c>
      <c r="Q106" s="133">
        <v>0</v>
      </c>
      <c r="R106" s="133">
        <v>0</v>
      </c>
      <c r="S106" s="133">
        <v>0</v>
      </c>
      <c r="T106" s="133">
        <v>0</v>
      </c>
      <c r="U106" s="133">
        <v>0</v>
      </c>
      <c r="V106" s="133">
        <v>0</v>
      </c>
      <c r="W106" s="133">
        <v>0</v>
      </c>
      <c r="X106" s="133">
        <v>0</v>
      </c>
      <c r="Y106" s="130">
        <f t="shared" si="9"/>
        <v>0</v>
      </c>
      <c r="Z106" s="113">
        <f t="shared" si="14"/>
        <v>0</v>
      </c>
    </row>
    <row r="107" spans="1:26" hidden="1" x14ac:dyDescent="0.25">
      <c r="A107" s="107"/>
      <c r="B107" s="107"/>
      <c r="C107" s="107"/>
      <c r="D107" s="107"/>
      <c r="E107" s="107"/>
      <c r="F107" s="132" t="s">
        <v>74</v>
      </c>
      <c r="G107" s="107"/>
      <c r="H107" s="118">
        <v>0</v>
      </c>
      <c r="I107" s="118">
        <v>0</v>
      </c>
      <c r="J107" s="118">
        <v>0</v>
      </c>
      <c r="K107" s="118">
        <v>0</v>
      </c>
      <c r="L107" s="118">
        <v>0</v>
      </c>
      <c r="M107" s="133">
        <v>0</v>
      </c>
      <c r="N107" s="133">
        <v>0</v>
      </c>
      <c r="O107" s="133">
        <v>0</v>
      </c>
      <c r="P107" s="133">
        <v>0</v>
      </c>
      <c r="Q107" s="133">
        <v>0</v>
      </c>
      <c r="R107" s="133">
        <v>0</v>
      </c>
      <c r="S107" s="133">
        <v>0</v>
      </c>
      <c r="T107" s="133">
        <v>0</v>
      </c>
      <c r="U107" s="133">
        <v>0</v>
      </c>
      <c r="V107" s="133">
        <v>0</v>
      </c>
      <c r="W107" s="133">
        <v>0</v>
      </c>
      <c r="X107" s="133">
        <v>0</v>
      </c>
      <c r="Y107" s="130">
        <f t="shared" si="9"/>
        <v>0</v>
      </c>
      <c r="Z107" s="113">
        <f t="shared" si="14"/>
        <v>0</v>
      </c>
    </row>
    <row r="108" spans="1:26" hidden="1" x14ac:dyDescent="0.25">
      <c r="A108" s="107"/>
      <c r="B108" s="107"/>
      <c r="C108" s="107"/>
      <c r="D108" s="107"/>
      <c r="E108" s="107"/>
      <c r="F108" s="132" t="s">
        <v>75</v>
      </c>
      <c r="G108" s="107"/>
      <c r="H108" s="118">
        <v>0</v>
      </c>
      <c r="I108" s="118">
        <v>0</v>
      </c>
      <c r="J108" s="118">
        <v>0</v>
      </c>
      <c r="K108" s="118">
        <v>0</v>
      </c>
      <c r="L108" s="118">
        <v>0</v>
      </c>
      <c r="M108" s="133">
        <v>0</v>
      </c>
      <c r="N108" s="133">
        <v>0</v>
      </c>
      <c r="O108" s="133">
        <v>0</v>
      </c>
      <c r="P108" s="133">
        <v>0</v>
      </c>
      <c r="Q108" s="133">
        <v>0</v>
      </c>
      <c r="R108" s="133">
        <v>0</v>
      </c>
      <c r="S108" s="133">
        <v>0</v>
      </c>
      <c r="T108" s="133">
        <v>0</v>
      </c>
      <c r="U108" s="133">
        <v>0</v>
      </c>
      <c r="V108" s="133">
        <v>0</v>
      </c>
      <c r="W108" s="133">
        <v>0</v>
      </c>
      <c r="X108" s="133">
        <v>0</v>
      </c>
      <c r="Y108" s="130">
        <f t="shared" si="9"/>
        <v>0</v>
      </c>
      <c r="Z108" s="113">
        <f t="shared" si="14"/>
        <v>0</v>
      </c>
    </row>
    <row r="109" spans="1:26" hidden="1" x14ac:dyDescent="0.25">
      <c r="A109" s="107"/>
      <c r="B109" s="107"/>
      <c r="C109" s="107"/>
      <c r="D109" s="107"/>
      <c r="E109" s="107"/>
      <c r="F109" s="132" t="s">
        <v>76</v>
      </c>
      <c r="G109" s="107"/>
      <c r="H109" s="118">
        <v>0</v>
      </c>
      <c r="I109" s="118">
        <v>0</v>
      </c>
      <c r="J109" s="118">
        <v>0</v>
      </c>
      <c r="K109" s="118">
        <v>0</v>
      </c>
      <c r="L109" s="118">
        <v>0</v>
      </c>
      <c r="M109" s="133">
        <v>0</v>
      </c>
      <c r="N109" s="133">
        <v>0</v>
      </c>
      <c r="O109" s="133">
        <v>0</v>
      </c>
      <c r="P109" s="133">
        <v>0</v>
      </c>
      <c r="Q109" s="133">
        <v>0</v>
      </c>
      <c r="R109" s="133">
        <v>0</v>
      </c>
      <c r="S109" s="133">
        <v>0</v>
      </c>
      <c r="T109" s="133">
        <v>0</v>
      </c>
      <c r="U109" s="133">
        <v>0</v>
      </c>
      <c r="V109" s="133">
        <v>0</v>
      </c>
      <c r="W109" s="133">
        <v>0</v>
      </c>
      <c r="X109" s="133">
        <v>0</v>
      </c>
      <c r="Y109" s="130">
        <f t="shared" si="9"/>
        <v>0</v>
      </c>
      <c r="Z109" s="113">
        <f t="shared" si="14"/>
        <v>0</v>
      </c>
    </row>
    <row r="110" spans="1:26" hidden="1" x14ac:dyDescent="0.25">
      <c r="A110" s="107"/>
      <c r="B110" s="107"/>
      <c r="C110" s="107"/>
      <c r="D110" s="107"/>
      <c r="E110" s="107"/>
      <c r="F110" s="132" t="s">
        <v>77</v>
      </c>
      <c r="G110" s="107"/>
      <c r="H110" s="118">
        <v>0</v>
      </c>
      <c r="I110" s="118">
        <v>0</v>
      </c>
      <c r="J110" s="118">
        <v>0</v>
      </c>
      <c r="K110" s="118">
        <v>0</v>
      </c>
      <c r="L110" s="118">
        <v>0</v>
      </c>
      <c r="M110" s="133">
        <v>0</v>
      </c>
      <c r="N110" s="133">
        <v>0</v>
      </c>
      <c r="O110" s="133">
        <v>0</v>
      </c>
      <c r="P110" s="133">
        <v>0</v>
      </c>
      <c r="Q110" s="133">
        <v>0</v>
      </c>
      <c r="R110" s="133">
        <v>0</v>
      </c>
      <c r="S110" s="133">
        <v>0</v>
      </c>
      <c r="T110" s="133">
        <v>0</v>
      </c>
      <c r="U110" s="133">
        <v>0</v>
      </c>
      <c r="V110" s="133">
        <v>0</v>
      </c>
      <c r="W110" s="133">
        <v>0</v>
      </c>
      <c r="X110" s="133">
        <v>0</v>
      </c>
      <c r="Y110" s="130">
        <f t="shared" si="9"/>
        <v>0</v>
      </c>
      <c r="Z110" s="113">
        <f t="shared" si="14"/>
        <v>0</v>
      </c>
    </row>
    <row r="111" spans="1:26" hidden="1" x14ac:dyDescent="0.25">
      <c r="A111" s="107"/>
      <c r="B111" s="107"/>
      <c r="C111" s="107"/>
      <c r="D111" s="107"/>
      <c r="E111" s="107"/>
      <c r="F111" s="132" t="s">
        <v>78</v>
      </c>
      <c r="G111" s="107"/>
      <c r="H111" s="118">
        <v>0</v>
      </c>
      <c r="I111" s="118">
        <v>0</v>
      </c>
      <c r="J111" s="118">
        <v>0</v>
      </c>
      <c r="K111" s="118">
        <v>0</v>
      </c>
      <c r="L111" s="118">
        <v>0</v>
      </c>
      <c r="M111" s="133">
        <v>0</v>
      </c>
      <c r="N111" s="133">
        <v>0</v>
      </c>
      <c r="O111" s="133">
        <v>0</v>
      </c>
      <c r="P111" s="133">
        <v>0</v>
      </c>
      <c r="Q111" s="133">
        <v>0</v>
      </c>
      <c r="R111" s="133">
        <v>0</v>
      </c>
      <c r="S111" s="133">
        <v>0</v>
      </c>
      <c r="T111" s="133">
        <v>0</v>
      </c>
      <c r="U111" s="133">
        <v>0</v>
      </c>
      <c r="V111" s="133">
        <v>0</v>
      </c>
      <c r="W111" s="133">
        <v>0</v>
      </c>
      <c r="X111" s="133">
        <v>0</v>
      </c>
      <c r="Y111" s="130">
        <f t="shared" si="9"/>
        <v>0</v>
      </c>
      <c r="Z111" s="113">
        <f t="shared" si="14"/>
        <v>0</v>
      </c>
    </row>
    <row r="112" spans="1:26" hidden="1" x14ac:dyDescent="0.25">
      <c r="A112" s="107"/>
      <c r="B112" s="107"/>
      <c r="C112" s="107"/>
      <c r="D112" s="107"/>
      <c r="E112" s="107"/>
      <c r="F112" s="132" t="s">
        <v>79</v>
      </c>
      <c r="G112" s="107"/>
      <c r="H112" s="118">
        <v>0</v>
      </c>
      <c r="I112" s="118">
        <v>0</v>
      </c>
      <c r="J112" s="118">
        <v>0</v>
      </c>
      <c r="K112" s="118">
        <v>0</v>
      </c>
      <c r="L112" s="118">
        <v>0</v>
      </c>
      <c r="M112" s="133">
        <v>0</v>
      </c>
      <c r="N112" s="133">
        <v>0</v>
      </c>
      <c r="O112" s="133">
        <v>0</v>
      </c>
      <c r="P112" s="133">
        <v>0</v>
      </c>
      <c r="Q112" s="133">
        <v>0</v>
      </c>
      <c r="R112" s="133">
        <v>0</v>
      </c>
      <c r="S112" s="133">
        <v>0</v>
      </c>
      <c r="T112" s="133">
        <v>0</v>
      </c>
      <c r="U112" s="133">
        <v>0</v>
      </c>
      <c r="V112" s="133">
        <v>0</v>
      </c>
      <c r="W112" s="133">
        <v>0</v>
      </c>
      <c r="X112" s="133">
        <v>0</v>
      </c>
      <c r="Y112" s="130">
        <f t="shared" si="9"/>
        <v>0</v>
      </c>
      <c r="Z112" s="113">
        <f t="shared" si="14"/>
        <v>0</v>
      </c>
    </row>
    <row r="113" spans="1:26" hidden="1" x14ac:dyDescent="0.25">
      <c r="A113" s="107"/>
      <c r="B113" s="107"/>
      <c r="C113" s="107"/>
      <c r="D113" s="107"/>
      <c r="E113" s="107"/>
      <c r="F113" s="132" t="s">
        <v>80</v>
      </c>
      <c r="G113" s="107"/>
      <c r="H113" s="118">
        <v>0</v>
      </c>
      <c r="I113" s="118">
        <v>0</v>
      </c>
      <c r="J113" s="118">
        <v>0</v>
      </c>
      <c r="K113" s="118">
        <v>0</v>
      </c>
      <c r="L113" s="118">
        <v>0</v>
      </c>
      <c r="M113" s="133">
        <v>0</v>
      </c>
      <c r="N113" s="133">
        <v>0</v>
      </c>
      <c r="O113" s="133">
        <v>0</v>
      </c>
      <c r="P113" s="133">
        <v>0</v>
      </c>
      <c r="Q113" s="133">
        <v>0</v>
      </c>
      <c r="R113" s="133">
        <v>0</v>
      </c>
      <c r="S113" s="133">
        <v>0</v>
      </c>
      <c r="T113" s="133">
        <v>0</v>
      </c>
      <c r="U113" s="133">
        <v>0</v>
      </c>
      <c r="V113" s="133">
        <v>0</v>
      </c>
      <c r="W113" s="133">
        <v>0</v>
      </c>
      <c r="X113" s="133">
        <v>0</v>
      </c>
      <c r="Y113" s="130">
        <f t="shared" si="9"/>
        <v>0</v>
      </c>
      <c r="Z113" s="113">
        <f t="shared" si="14"/>
        <v>0</v>
      </c>
    </row>
    <row r="114" spans="1:26" hidden="1" x14ac:dyDescent="0.25">
      <c r="A114" s="107"/>
      <c r="B114" s="107"/>
      <c r="C114" s="107"/>
      <c r="D114" s="107"/>
      <c r="E114" s="107"/>
      <c r="F114" s="132" t="s">
        <v>81</v>
      </c>
      <c r="G114" s="107"/>
      <c r="H114" s="118">
        <v>0</v>
      </c>
      <c r="I114" s="118">
        <v>0</v>
      </c>
      <c r="J114" s="118">
        <v>0</v>
      </c>
      <c r="K114" s="118">
        <v>0</v>
      </c>
      <c r="L114" s="118">
        <v>0</v>
      </c>
      <c r="M114" s="133">
        <v>0</v>
      </c>
      <c r="N114" s="133">
        <v>0</v>
      </c>
      <c r="O114" s="133">
        <v>0</v>
      </c>
      <c r="P114" s="133">
        <v>0</v>
      </c>
      <c r="Q114" s="133">
        <v>0</v>
      </c>
      <c r="R114" s="133">
        <v>0</v>
      </c>
      <c r="S114" s="133">
        <v>0</v>
      </c>
      <c r="T114" s="133">
        <v>0</v>
      </c>
      <c r="U114" s="133">
        <v>0</v>
      </c>
      <c r="V114" s="133">
        <v>0</v>
      </c>
      <c r="W114" s="133">
        <v>0</v>
      </c>
      <c r="X114" s="133">
        <v>0</v>
      </c>
      <c r="Y114" s="130">
        <f t="shared" si="9"/>
        <v>0</v>
      </c>
      <c r="Z114" s="113">
        <f t="shared" si="14"/>
        <v>0</v>
      </c>
    </row>
    <row r="115" spans="1:26" ht="15.75" hidden="1" thickBot="1" x14ac:dyDescent="0.3">
      <c r="A115" s="107"/>
      <c r="B115" s="107"/>
      <c r="C115" s="107"/>
      <c r="D115" s="107"/>
      <c r="E115" s="107"/>
      <c r="F115" s="132" t="s">
        <v>82</v>
      </c>
      <c r="G115" s="107"/>
      <c r="H115" s="134">
        <v>0</v>
      </c>
      <c r="I115" s="134">
        <v>0</v>
      </c>
      <c r="J115" s="134">
        <v>0</v>
      </c>
      <c r="K115" s="134">
        <v>0</v>
      </c>
      <c r="L115" s="134">
        <v>0</v>
      </c>
      <c r="M115" s="134">
        <v>0</v>
      </c>
      <c r="N115" s="134">
        <v>0</v>
      </c>
      <c r="O115" s="134">
        <v>0</v>
      </c>
      <c r="P115" s="134">
        <v>0</v>
      </c>
      <c r="Q115" s="134">
        <v>0</v>
      </c>
      <c r="R115" s="134">
        <v>0</v>
      </c>
      <c r="S115" s="134">
        <v>0</v>
      </c>
      <c r="T115" s="134">
        <v>0</v>
      </c>
      <c r="U115" s="134">
        <v>0</v>
      </c>
      <c r="V115" s="134">
        <v>0</v>
      </c>
      <c r="W115" s="134">
        <v>0</v>
      </c>
      <c r="X115" s="134">
        <v>0</v>
      </c>
      <c r="Y115" s="135">
        <f t="shared" si="9"/>
        <v>0</v>
      </c>
      <c r="Z115" s="113">
        <f t="shared" si="14"/>
        <v>0</v>
      </c>
    </row>
    <row r="116" spans="1:26" hidden="1" x14ac:dyDescent="0.25">
      <c r="A116" s="107"/>
      <c r="B116" s="107"/>
      <c r="C116" s="107"/>
      <c r="D116" s="107"/>
      <c r="E116" s="107" t="s">
        <v>83</v>
      </c>
      <c r="F116" s="107"/>
      <c r="G116" s="107"/>
      <c r="H116" s="118">
        <f>ROUND(SUM(H85:H115),5)</f>
        <v>0</v>
      </c>
      <c r="I116" s="118">
        <f t="shared" ref="I116:Y116" si="15">ROUND(SUM(I85:I115),5)</f>
        <v>0</v>
      </c>
      <c r="J116" s="118">
        <f t="shared" si="15"/>
        <v>0</v>
      </c>
      <c r="K116" s="118">
        <f t="shared" si="15"/>
        <v>0</v>
      </c>
      <c r="L116" s="118">
        <f t="shared" si="15"/>
        <v>0</v>
      </c>
      <c r="M116" s="118">
        <f t="shared" si="15"/>
        <v>0</v>
      </c>
      <c r="N116" s="118">
        <f t="shared" si="15"/>
        <v>0</v>
      </c>
      <c r="O116" s="118">
        <f t="shared" si="15"/>
        <v>0</v>
      </c>
      <c r="P116" s="118">
        <f t="shared" si="15"/>
        <v>0</v>
      </c>
      <c r="Q116" s="118">
        <f t="shared" si="15"/>
        <v>0</v>
      </c>
      <c r="R116" s="118">
        <f t="shared" si="15"/>
        <v>0</v>
      </c>
      <c r="S116" s="118">
        <f t="shared" si="15"/>
        <v>0</v>
      </c>
      <c r="T116" s="118">
        <f t="shared" si="15"/>
        <v>0</v>
      </c>
      <c r="U116" s="118">
        <f t="shared" si="15"/>
        <v>0</v>
      </c>
      <c r="V116" s="118">
        <f t="shared" si="15"/>
        <v>0</v>
      </c>
      <c r="W116" s="118">
        <f t="shared" si="15"/>
        <v>0</v>
      </c>
      <c r="X116" s="118">
        <f t="shared" si="15"/>
        <v>0</v>
      </c>
      <c r="Y116" s="118">
        <f t="shared" si="15"/>
        <v>0</v>
      </c>
      <c r="Z116" s="113">
        <f t="shared" si="14"/>
        <v>0</v>
      </c>
    </row>
    <row r="117" spans="1:26" hidden="1" x14ac:dyDescent="0.25">
      <c r="A117" s="107"/>
      <c r="B117" s="107"/>
      <c r="C117" s="107"/>
      <c r="D117" s="107"/>
      <c r="E117" s="107" t="s">
        <v>84</v>
      </c>
      <c r="F117" s="107"/>
      <c r="G117" s="107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30"/>
    </row>
    <row r="118" spans="1:26" hidden="1" x14ac:dyDescent="0.25">
      <c r="A118" s="107"/>
      <c r="B118" s="107"/>
      <c r="C118" s="107"/>
      <c r="D118" s="107"/>
      <c r="E118" s="107"/>
      <c r="F118" s="132" t="s">
        <v>85</v>
      </c>
      <c r="G118" s="107"/>
      <c r="H118" s="118">
        <v>0</v>
      </c>
      <c r="I118" s="118">
        <v>0</v>
      </c>
      <c r="J118" s="118">
        <v>0</v>
      </c>
      <c r="K118" s="118">
        <v>0</v>
      </c>
      <c r="L118" s="118">
        <v>0</v>
      </c>
      <c r="M118" s="118">
        <v>0</v>
      </c>
      <c r="N118" s="118">
        <v>0</v>
      </c>
      <c r="O118" s="118">
        <v>0</v>
      </c>
      <c r="P118" s="118">
        <v>0</v>
      </c>
      <c r="Q118" s="118">
        <v>0</v>
      </c>
      <c r="R118" s="118">
        <v>0</v>
      </c>
      <c r="S118" s="118">
        <v>0</v>
      </c>
      <c r="T118" s="118">
        <v>0</v>
      </c>
      <c r="U118" s="118">
        <v>0</v>
      </c>
      <c r="V118" s="118">
        <v>0</v>
      </c>
      <c r="W118" s="118">
        <v>0</v>
      </c>
      <c r="X118" s="118">
        <v>0</v>
      </c>
      <c r="Y118" s="130">
        <f t="shared" si="9"/>
        <v>0</v>
      </c>
      <c r="Z118" s="113">
        <f t="shared" ref="Z118:Z157" si="16">ROUND(Y118-H118,0)</f>
        <v>0</v>
      </c>
    </row>
    <row r="119" spans="1:26" hidden="1" x14ac:dyDescent="0.25">
      <c r="A119" s="107"/>
      <c r="B119" s="107"/>
      <c r="C119" s="107"/>
      <c r="D119" s="107"/>
      <c r="E119" s="107"/>
      <c r="F119" s="132" t="s">
        <v>86</v>
      </c>
      <c r="G119" s="107"/>
      <c r="H119" s="118">
        <v>0</v>
      </c>
      <c r="I119" s="118">
        <v>0</v>
      </c>
      <c r="J119" s="118">
        <v>0</v>
      </c>
      <c r="K119" s="118">
        <v>0</v>
      </c>
      <c r="L119" s="118">
        <v>0</v>
      </c>
      <c r="M119" s="118">
        <v>0</v>
      </c>
      <c r="N119" s="118">
        <v>0</v>
      </c>
      <c r="O119" s="118">
        <v>0</v>
      </c>
      <c r="P119" s="118">
        <v>0</v>
      </c>
      <c r="Q119" s="118">
        <v>0</v>
      </c>
      <c r="R119" s="118">
        <v>0</v>
      </c>
      <c r="S119" s="118">
        <v>0</v>
      </c>
      <c r="T119" s="118">
        <v>0</v>
      </c>
      <c r="U119" s="118">
        <v>0</v>
      </c>
      <c r="V119" s="118">
        <v>0</v>
      </c>
      <c r="W119" s="118">
        <v>0</v>
      </c>
      <c r="X119" s="118">
        <v>0</v>
      </c>
      <c r="Y119" s="130">
        <f t="shared" si="9"/>
        <v>0</v>
      </c>
      <c r="Z119" s="113">
        <f t="shared" si="16"/>
        <v>0</v>
      </c>
    </row>
    <row r="120" spans="1:26" hidden="1" x14ac:dyDescent="0.25">
      <c r="A120" s="107"/>
      <c r="B120" s="107"/>
      <c r="C120" s="107"/>
      <c r="D120" s="107"/>
      <c r="E120" s="107"/>
      <c r="F120" s="132" t="s">
        <v>87</v>
      </c>
      <c r="G120" s="107"/>
      <c r="H120" s="118">
        <v>0</v>
      </c>
      <c r="I120" s="118">
        <v>0</v>
      </c>
      <c r="J120" s="118">
        <v>0</v>
      </c>
      <c r="K120" s="118">
        <v>0</v>
      </c>
      <c r="L120" s="118">
        <v>0</v>
      </c>
      <c r="M120" s="118">
        <v>0</v>
      </c>
      <c r="N120" s="118">
        <v>0</v>
      </c>
      <c r="O120" s="118">
        <v>0</v>
      </c>
      <c r="P120" s="118">
        <v>0</v>
      </c>
      <c r="Q120" s="118">
        <v>0</v>
      </c>
      <c r="R120" s="118">
        <v>0</v>
      </c>
      <c r="S120" s="118">
        <v>0</v>
      </c>
      <c r="T120" s="118">
        <v>0</v>
      </c>
      <c r="U120" s="118">
        <v>0</v>
      </c>
      <c r="V120" s="118">
        <v>0</v>
      </c>
      <c r="W120" s="118">
        <v>0</v>
      </c>
      <c r="X120" s="118">
        <v>0</v>
      </c>
      <c r="Y120" s="130">
        <f t="shared" si="9"/>
        <v>0</v>
      </c>
      <c r="Z120" s="113">
        <f t="shared" si="16"/>
        <v>0</v>
      </c>
    </row>
    <row r="121" spans="1:26" hidden="1" x14ac:dyDescent="0.25">
      <c r="A121" s="107"/>
      <c r="B121" s="107"/>
      <c r="C121" s="107"/>
      <c r="D121" s="107"/>
      <c r="E121" s="107"/>
      <c r="F121" s="132" t="s">
        <v>88</v>
      </c>
      <c r="G121" s="107"/>
      <c r="H121" s="118">
        <v>0</v>
      </c>
      <c r="I121" s="118">
        <v>0</v>
      </c>
      <c r="J121" s="118">
        <v>0</v>
      </c>
      <c r="K121" s="118">
        <v>0</v>
      </c>
      <c r="L121" s="118">
        <v>0</v>
      </c>
      <c r="M121" s="118">
        <v>0</v>
      </c>
      <c r="N121" s="118">
        <v>0</v>
      </c>
      <c r="O121" s="118">
        <v>0</v>
      </c>
      <c r="P121" s="118">
        <v>0</v>
      </c>
      <c r="Q121" s="118">
        <v>0</v>
      </c>
      <c r="R121" s="118">
        <v>0</v>
      </c>
      <c r="S121" s="118">
        <v>0</v>
      </c>
      <c r="T121" s="118">
        <v>0</v>
      </c>
      <c r="U121" s="118">
        <v>0</v>
      </c>
      <c r="V121" s="118">
        <v>0</v>
      </c>
      <c r="W121" s="118">
        <v>0</v>
      </c>
      <c r="X121" s="118">
        <v>0</v>
      </c>
      <c r="Y121" s="130">
        <f t="shared" si="9"/>
        <v>0</v>
      </c>
      <c r="Z121" s="113">
        <f t="shared" si="16"/>
        <v>0</v>
      </c>
    </row>
    <row r="122" spans="1:26" hidden="1" x14ac:dyDescent="0.25">
      <c r="A122" s="107"/>
      <c r="B122" s="107"/>
      <c r="C122" s="107"/>
      <c r="D122" s="107"/>
      <c r="E122" s="107"/>
      <c r="F122" s="132" t="s">
        <v>89</v>
      </c>
      <c r="G122" s="107"/>
      <c r="H122" s="118">
        <v>0</v>
      </c>
      <c r="I122" s="118">
        <v>0</v>
      </c>
      <c r="J122" s="118">
        <v>0</v>
      </c>
      <c r="K122" s="118">
        <v>0</v>
      </c>
      <c r="L122" s="118">
        <v>0</v>
      </c>
      <c r="M122" s="118">
        <v>0</v>
      </c>
      <c r="N122" s="118">
        <v>0</v>
      </c>
      <c r="O122" s="118">
        <v>0</v>
      </c>
      <c r="P122" s="118">
        <v>0</v>
      </c>
      <c r="Q122" s="118">
        <v>0</v>
      </c>
      <c r="R122" s="118">
        <v>0</v>
      </c>
      <c r="S122" s="118">
        <v>0</v>
      </c>
      <c r="T122" s="118">
        <v>0</v>
      </c>
      <c r="U122" s="118">
        <v>0</v>
      </c>
      <c r="V122" s="118">
        <v>0</v>
      </c>
      <c r="W122" s="118">
        <v>0</v>
      </c>
      <c r="X122" s="118">
        <v>0</v>
      </c>
      <c r="Y122" s="130">
        <f t="shared" si="9"/>
        <v>0</v>
      </c>
      <c r="Z122" s="113">
        <f t="shared" si="16"/>
        <v>0</v>
      </c>
    </row>
    <row r="123" spans="1:26" hidden="1" x14ac:dyDescent="0.25">
      <c r="A123" s="107"/>
      <c r="B123" s="107"/>
      <c r="C123" s="107"/>
      <c r="D123" s="107"/>
      <c r="E123" s="107"/>
      <c r="F123" s="132" t="s">
        <v>90</v>
      </c>
      <c r="G123" s="107"/>
      <c r="H123" s="118">
        <v>0</v>
      </c>
      <c r="I123" s="118">
        <v>0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18">
        <v>0</v>
      </c>
      <c r="Q123" s="118">
        <v>0</v>
      </c>
      <c r="R123" s="118">
        <v>0</v>
      </c>
      <c r="S123" s="118">
        <v>0</v>
      </c>
      <c r="T123" s="118">
        <v>0</v>
      </c>
      <c r="U123" s="118">
        <v>0</v>
      </c>
      <c r="V123" s="118">
        <v>0</v>
      </c>
      <c r="W123" s="118">
        <v>0</v>
      </c>
      <c r="X123" s="118">
        <v>0</v>
      </c>
      <c r="Y123" s="130">
        <f t="shared" si="9"/>
        <v>0</v>
      </c>
      <c r="Z123" s="113">
        <f t="shared" si="16"/>
        <v>0</v>
      </c>
    </row>
    <row r="124" spans="1:26" hidden="1" x14ac:dyDescent="0.25">
      <c r="A124" s="107"/>
      <c r="B124" s="107"/>
      <c r="C124" s="107"/>
      <c r="D124" s="107"/>
      <c r="E124" s="107"/>
      <c r="F124" s="132" t="s">
        <v>91</v>
      </c>
      <c r="G124" s="107"/>
      <c r="H124" s="118">
        <v>0</v>
      </c>
      <c r="I124" s="118">
        <v>0</v>
      </c>
      <c r="J124" s="118">
        <v>0</v>
      </c>
      <c r="K124" s="118">
        <v>0</v>
      </c>
      <c r="L124" s="118">
        <v>0</v>
      </c>
      <c r="M124" s="118">
        <v>0</v>
      </c>
      <c r="N124" s="118">
        <v>0</v>
      </c>
      <c r="O124" s="118">
        <v>0</v>
      </c>
      <c r="P124" s="118">
        <v>0</v>
      </c>
      <c r="Q124" s="118">
        <v>0</v>
      </c>
      <c r="R124" s="118">
        <v>0</v>
      </c>
      <c r="S124" s="118">
        <v>0</v>
      </c>
      <c r="T124" s="118">
        <v>0</v>
      </c>
      <c r="U124" s="118">
        <v>0</v>
      </c>
      <c r="V124" s="118">
        <v>0</v>
      </c>
      <c r="W124" s="118">
        <v>0</v>
      </c>
      <c r="X124" s="118">
        <v>0</v>
      </c>
      <c r="Y124" s="130">
        <f t="shared" si="9"/>
        <v>0</v>
      </c>
      <c r="Z124" s="113">
        <f t="shared" si="16"/>
        <v>0</v>
      </c>
    </row>
    <row r="125" spans="1:26" hidden="1" x14ac:dyDescent="0.25">
      <c r="A125" s="107"/>
      <c r="B125" s="107"/>
      <c r="C125" s="107"/>
      <c r="D125" s="107"/>
      <c r="E125" s="107"/>
      <c r="F125" s="132" t="s">
        <v>92</v>
      </c>
      <c r="G125" s="107"/>
      <c r="H125" s="118">
        <v>0</v>
      </c>
      <c r="I125" s="118">
        <v>0</v>
      </c>
      <c r="J125" s="118">
        <v>0</v>
      </c>
      <c r="K125" s="118">
        <v>0</v>
      </c>
      <c r="L125" s="118">
        <v>0</v>
      </c>
      <c r="M125" s="118">
        <v>0</v>
      </c>
      <c r="N125" s="118">
        <v>0</v>
      </c>
      <c r="O125" s="118">
        <v>0</v>
      </c>
      <c r="P125" s="118">
        <v>0</v>
      </c>
      <c r="Q125" s="118">
        <v>0</v>
      </c>
      <c r="R125" s="118">
        <v>0</v>
      </c>
      <c r="S125" s="118">
        <v>0</v>
      </c>
      <c r="T125" s="118">
        <v>0</v>
      </c>
      <c r="U125" s="118">
        <v>0</v>
      </c>
      <c r="V125" s="118">
        <v>0</v>
      </c>
      <c r="W125" s="118">
        <v>0</v>
      </c>
      <c r="X125" s="118">
        <v>0</v>
      </c>
      <c r="Y125" s="130">
        <f t="shared" si="9"/>
        <v>0</v>
      </c>
      <c r="Z125" s="113">
        <f t="shared" si="16"/>
        <v>0</v>
      </c>
    </row>
    <row r="126" spans="1:26" hidden="1" x14ac:dyDescent="0.25">
      <c r="A126" s="107"/>
      <c r="B126" s="107"/>
      <c r="C126" s="107"/>
      <c r="D126" s="107"/>
      <c r="E126" s="107"/>
      <c r="F126" s="132" t="s">
        <v>93</v>
      </c>
      <c r="G126" s="107"/>
      <c r="H126" s="118">
        <v>0</v>
      </c>
      <c r="I126" s="118">
        <v>0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18">
        <v>0</v>
      </c>
      <c r="Q126" s="118">
        <v>0</v>
      </c>
      <c r="R126" s="118">
        <v>0</v>
      </c>
      <c r="S126" s="118">
        <v>0</v>
      </c>
      <c r="T126" s="118">
        <v>0</v>
      </c>
      <c r="U126" s="118">
        <v>0</v>
      </c>
      <c r="V126" s="118">
        <v>0</v>
      </c>
      <c r="W126" s="118">
        <v>0</v>
      </c>
      <c r="X126" s="118">
        <v>0</v>
      </c>
      <c r="Y126" s="130">
        <f t="shared" si="9"/>
        <v>0</v>
      </c>
      <c r="Z126" s="113">
        <f t="shared" si="16"/>
        <v>0</v>
      </c>
    </row>
    <row r="127" spans="1:26" hidden="1" x14ac:dyDescent="0.25">
      <c r="A127" s="107"/>
      <c r="B127" s="107"/>
      <c r="C127" s="107"/>
      <c r="D127" s="107"/>
      <c r="E127" s="107"/>
      <c r="F127" s="132" t="s">
        <v>94</v>
      </c>
      <c r="G127" s="107"/>
      <c r="H127" s="118">
        <v>0</v>
      </c>
      <c r="I127" s="118">
        <v>0</v>
      </c>
      <c r="J127" s="118">
        <v>0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118">
        <v>0</v>
      </c>
      <c r="Q127" s="118">
        <v>0</v>
      </c>
      <c r="R127" s="118">
        <v>0</v>
      </c>
      <c r="S127" s="118">
        <v>0</v>
      </c>
      <c r="T127" s="118">
        <v>0</v>
      </c>
      <c r="U127" s="118">
        <v>0</v>
      </c>
      <c r="V127" s="118">
        <v>0</v>
      </c>
      <c r="W127" s="118">
        <v>0</v>
      </c>
      <c r="X127" s="118">
        <v>0</v>
      </c>
      <c r="Y127" s="130">
        <f t="shared" si="9"/>
        <v>0</v>
      </c>
      <c r="Z127" s="113">
        <f t="shared" si="16"/>
        <v>0</v>
      </c>
    </row>
    <row r="128" spans="1:26" hidden="1" x14ac:dyDescent="0.25">
      <c r="A128" s="107"/>
      <c r="B128" s="107"/>
      <c r="C128" s="107"/>
      <c r="D128" s="107"/>
      <c r="E128" s="107"/>
      <c r="F128" s="132" t="s">
        <v>95</v>
      </c>
      <c r="G128" s="107"/>
      <c r="H128" s="118">
        <v>0</v>
      </c>
      <c r="I128" s="118">
        <v>0</v>
      </c>
      <c r="J128" s="118">
        <v>0</v>
      </c>
      <c r="K128" s="118">
        <v>0</v>
      </c>
      <c r="L128" s="118">
        <v>0</v>
      </c>
      <c r="M128" s="118">
        <v>0</v>
      </c>
      <c r="N128" s="118">
        <v>0</v>
      </c>
      <c r="O128" s="118">
        <v>0</v>
      </c>
      <c r="P128" s="118">
        <v>0</v>
      </c>
      <c r="Q128" s="118">
        <v>0</v>
      </c>
      <c r="R128" s="118">
        <v>0</v>
      </c>
      <c r="S128" s="118">
        <v>0</v>
      </c>
      <c r="T128" s="118">
        <v>0</v>
      </c>
      <c r="U128" s="118">
        <v>0</v>
      </c>
      <c r="V128" s="118">
        <v>0</v>
      </c>
      <c r="W128" s="118">
        <v>0</v>
      </c>
      <c r="X128" s="118">
        <v>0</v>
      </c>
      <c r="Y128" s="130">
        <f t="shared" si="9"/>
        <v>0</v>
      </c>
      <c r="Z128" s="113">
        <f t="shared" si="16"/>
        <v>0</v>
      </c>
    </row>
    <row r="129" spans="1:26" hidden="1" x14ac:dyDescent="0.25">
      <c r="A129" s="107"/>
      <c r="B129" s="107"/>
      <c r="C129" s="107"/>
      <c r="D129" s="107"/>
      <c r="E129" s="107"/>
      <c r="F129" s="132" t="s">
        <v>96</v>
      </c>
      <c r="G129" s="107"/>
      <c r="H129" s="118">
        <v>0</v>
      </c>
      <c r="I129" s="118">
        <v>0</v>
      </c>
      <c r="J129" s="118">
        <v>0</v>
      </c>
      <c r="K129" s="118">
        <v>0</v>
      </c>
      <c r="L129" s="118">
        <v>0</v>
      </c>
      <c r="M129" s="118">
        <v>0</v>
      </c>
      <c r="N129" s="118">
        <v>0</v>
      </c>
      <c r="O129" s="118">
        <v>0</v>
      </c>
      <c r="P129" s="118">
        <v>0</v>
      </c>
      <c r="Q129" s="118">
        <v>0</v>
      </c>
      <c r="R129" s="118">
        <v>0</v>
      </c>
      <c r="S129" s="118">
        <v>0</v>
      </c>
      <c r="T129" s="118">
        <v>0</v>
      </c>
      <c r="U129" s="118">
        <v>0</v>
      </c>
      <c r="V129" s="118">
        <v>0</v>
      </c>
      <c r="W129" s="118">
        <v>0</v>
      </c>
      <c r="X129" s="118">
        <v>0</v>
      </c>
      <c r="Y129" s="130">
        <f t="shared" si="9"/>
        <v>0</v>
      </c>
      <c r="Z129" s="113">
        <f t="shared" si="16"/>
        <v>0</v>
      </c>
    </row>
    <row r="130" spans="1:26" hidden="1" x14ac:dyDescent="0.25">
      <c r="A130" s="107"/>
      <c r="B130" s="107"/>
      <c r="C130" s="107"/>
      <c r="D130" s="107"/>
      <c r="E130" s="107"/>
      <c r="F130" s="132" t="s">
        <v>97</v>
      </c>
      <c r="G130" s="107"/>
      <c r="H130" s="118">
        <v>0</v>
      </c>
      <c r="I130" s="118">
        <v>0</v>
      </c>
      <c r="J130" s="118">
        <v>0</v>
      </c>
      <c r="K130" s="118">
        <v>0</v>
      </c>
      <c r="L130" s="118">
        <v>0</v>
      </c>
      <c r="M130" s="118">
        <v>0</v>
      </c>
      <c r="N130" s="118">
        <v>0</v>
      </c>
      <c r="O130" s="118">
        <v>0</v>
      </c>
      <c r="P130" s="118">
        <v>0</v>
      </c>
      <c r="Q130" s="118">
        <v>0</v>
      </c>
      <c r="R130" s="118">
        <v>0</v>
      </c>
      <c r="S130" s="118">
        <v>0</v>
      </c>
      <c r="T130" s="118">
        <v>0</v>
      </c>
      <c r="U130" s="118">
        <v>0</v>
      </c>
      <c r="V130" s="118">
        <v>0</v>
      </c>
      <c r="W130" s="118">
        <v>0</v>
      </c>
      <c r="X130" s="118">
        <v>0</v>
      </c>
      <c r="Y130" s="130">
        <f t="shared" si="9"/>
        <v>0</v>
      </c>
      <c r="Z130" s="113">
        <f t="shared" si="16"/>
        <v>0</v>
      </c>
    </row>
    <row r="131" spans="1:26" hidden="1" x14ac:dyDescent="0.25">
      <c r="A131" s="107"/>
      <c r="B131" s="107"/>
      <c r="C131" s="107"/>
      <c r="D131" s="107"/>
      <c r="E131" s="107"/>
      <c r="F131" s="132" t="s">
        <v>98</v>
      </c>
      <c r="G131" s="107"/>
      <c r="H131" s="118">
        <v>0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18">
        <v>0</v>
      </c>
      <c r="Q131" s="118">
        <v>0</v>
      </c>
      <c r="R131" s="118">
        <v>0</v>
      </c>
      <c r="S131" s="118">
        <v>0</v>
      </c>
      <c r="T131" s="118">
        <v>0</v>
      </c>
      <c r="U131" s="118">
        <v>0</v>
      </c>
      <c r="V131" s="118">
        <v>0</v>
      </c>
      <c r="W131" s="118">
        <v>0</v>
      </c>
      <c r="X131" s="118">
        <v>0</v>
      </c>
      <c r="Y131" s="130">
        <f t="shared" si="9"/>
        <v>0</v>
      </c>
      <c r="Z131" s="113">
        <f t="shared" si="16"/>
        <v>0</v>
      </c>
    </row>
    <row r="132" spans="1:26" hidden="1" x14ac:dyDescent="0.25">
      <c r="A132" s="107"/>
      <c r="B132" s="107"/>
      <c r="C132" s="107"/>
      <c r="D132" s="107"/>
      <c r="E132" s="107"/>
      <c r="F132" s="132" t="s">
        <v>99</v>
      </c>
      <c r="G132" s="107"/>
      <c r="H132" s="118">
        <v>0</v>
      </c>
      <c r="I132" s="118">
        <v>0</v>
      </c>
      <c r="J132" s="118">
        <v>0</v>
      </c>
      <c r="K132" s="118">
        <v>0</v>
      </c>
      <c r="L132" s="118">
        <v>0</v>
      </c>
      <c r="M132" s="118">
        <v>0</v>
      </c>
      <c r="N132" s="118">
        <v>0</v>
      </c>
      <c r="O132" s="118">
        <v>0</v>
      </c>
      <c r="P132" s="118">
        <v>0</v>
      </c>
      <c r="Q132" s="118">
        <v>0</v>
      </c>
      <c r="R132" s="118">
        <v>0</v>
      </c>
      <c r="S132" s="118">
        <v>0</v>
      </c>
      <c r="T132" s="118">
        <v>0</v>
      </c>
      <c r="U132" s="118">
        <v>0</v>
      </c>
      <c r="V132" s="118">
        <v>0</v>
      </c>
      <c r="W132" s="118">
        <v>0</v>
      </c>
      <c r="X132" s="118">
        <v>0</v>
      </c>
      <c r="Y132" s="130">
        <f t="shared" si="9"/>
        <v>0</v>
      </c>
      <c r="Z132" s="113">
        <f t="shared" si="16"/>
        <v>0</v>
      </c>
    </row>
    <row r="133" spans="1:26" hidden="1" x14ac:dyDescent="0.25">
      <c r="A133" s="107"/>
      <c r="B133" s="107"/>
      <c r="C133" s="107"/>
      <c r="D133" s="107"/>
      <c r="E133" s="107"/>
      <c r="F133" s="132" t="s">
        <v>100</v>
      </c>
      <c r="G133" s="107"/>
      <c r="H133" s="118">
        <v>0</v>
      </c>
      <c r="I133" s="118">
        <v>0</v>
      </c>
      <c r="J133" s="118">
        <v>0</v>
      </c>
      <c r="K133" s="118">
        <v>0</v>
      </c>
      <c r="L133" s="118">
        <v>0</v>
      </c>
      <c r="M133" s="118">
        <v>0</v>
      </c>
      <c r="N133" s="118">
        <v>0</v>
      </c>
      <c r="O133" s="118">
        <v>0</v>
      </c>
      <c r="P133" s="118">
        <v>0</v>
      </c>
      <c r="Q133" s="118">
        <v>0</v>
      </c>
      <c r="R133" s="118">
        <v>0</v>
      </c>
      <c r="S133" s="118">
        <v>0</v>
      </c>
      <c r="T133" s="118">
        <v>0</v>
      </c>
      <c r="U133" s="118">
        <v>0</v>
      </c>
      <c r="V133" s="118">
        <v>0</v>
      </c>
      <c r="W133" s="118">
        <v>0</v>
      </c>
      <c r="X133" s="118">
        <v>0</v>
      </c>
      <c r="Y133" s="130">
        <f t="shared" si="9"/>
        <v>0</v>
      </c>
      <c r="Z133" s="113">
        <f t="shared" si="16"/>
        <v>0</v>
      </c>
    </row>
    <row r="134" spans="1:26" hidden="1" x14ac:dyDescent="0.25">
      <c r="A134" s="107"/>
      <c r="B134" s="107"/>
      <c r="C134" s="107"/>
      <c r="D134" s="107"/>
      <c r="E134" s="107"/>
      <c r="F134" s="132" t="s">
        <v>101</v>
      </c>
      <c r="G134" s="107"/>
      <c r="H134" s="118">
        <v>0</v>
      </c>
      <c r="I134" s="118">
        <v>0</v>
      </c>
      <c r="J134" s="118">
        <v>0</v>
      </c>
      <c r="K134" s="118">
        <v>0</v>
      </c>
      <c r="L134" s="118">
        <v>0</v>
      </c>
      <c r="M134" s="118">
        <v>0</v>
      </c>
      <c r="N134" s="118">
        <v>0</v>
      </c>
      <c r="O134" s="118">
        <v>0</v>
      </c>
      <c r="P134" s="118">
        <v>0</v>
      </c>
      <c r="Q134" s="118">
        <v>0</v>
      </c>
      <c r="R134" s="118">
        <v>0</v>
      </c>
      <c r="S134" s="118">
        <v>0</v>
      </c>
      <c r="T134" s="118">
        <v>0</v>
      </c>
      <c r="U134" s="118">
        <v>0</v>
      </c>
      <c r="V134" s="118">
        <v>0</v>
      </c>
      <c r="W134" s="118">
        <v>0</v>
      </c>
      <c r="X134" s="118">
        <v>0</v>
      </c>
      <c r="Y134" s="130">
        <f t="shared" si="9"/>
        <v>0</v>
      </c>
      <c r="Z134" s="113">
        <f t="shared" si="16"/>
        <v>0</v>
      </c>
    </row>
    <row r="135" spans="1:26" hidden="1" x14ac:dyDescent="0.25">
      <c r="A135" s="107"/>
      <c r="B135" s="107"/>
      <c r="C135" s="107"/>
      <c r="D135" s="107"/>
      <c r="E135" s="107"/>
      <c r="F135" s="132" t="s">
        <v>102</v>
      </c>
      <c r="G135" s="107"/>
      <c r="H135" s="118">
        <v>0</v>
      </c>
      <c r="I135" s="118">
        <v>0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18">
        <v>0</v>
      </c>
      <c r="Q135" s="118">
        <v>0</v>
      </c>
      <c r="R135" s="118">
        <v>0</v>
      </c>
      <c r="S135" s="118">
        <v>0</v>
      </c>
      <c r="T135" s="118">
        <v>0</v>
      </c>
      <c r="U135" s="118">
        <v>0</v>
      </c>
      <c r="V135" s="118">
        <v>0</v>
      </c>
      <c r="W135" s="118">
        <v>0</v>
      </c>
      <c r="X135" s="118">
        <v>0</v>
      </c>
      <c r="Y135" s="130">
        <f t="shared" ref="Y135:Y154" si="17">SUM(M135:X135)</f>
        <v>0</v>
      </c>
      <c r="Z135" s="113">
        <f t="shared" si="16"/>
        <v>0</v>
      </c>
    </row>
    <row r="136" spans="1:26" hidden="1" x14ac:dyDescent="0.25">
      <c r="A136" s="107"/>
      <c r="B136" s="107"/>
      <c r="C136" s="107"/>
      <c r="D136" s="107"/>
      <c r="E136" s="107"/>
      <c r="F136" s="132" t="s">
        <v>103</v>
      </c>
      <c r="G136" s="107"/>
      <c r="H136" s="118">
        <v>0</v>
      </c>
      <c r="I136" s="118">
        <v>0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18">
        <v>0</v>
      </c>
      <c r="Q136" s="118">
        <v>0</v>
      </c>
      <c r="R136" s="118">
        <v>0</v>
      </c>
      <c r="S136" s="118">
        <v>0</v>
      </c>
      <c r="T136" s="118">
        <v>0</v>
      </c>
      <c r="U136" s="118">
        <v>0</v>
      </c>
      <c r="V136" s="118">
        <v>0</v>
      </c>
      <c r="W136" s="118">
        <v>0</v>
      </c>
      <c r="X136" s="118">
        <v>0</v>
      </c>
      <c r="Y136" s="130">
        <f t="shared" si="17"/>
        <v>0</v>
      </c>
      <c r="Z136" s="113">
        <f t="shared" si="16"/>
        <v>0</v>
      </c>
    </row>
    <row r="137" spans="1:26" hidden="1" x14ac:dyDescent="0.25">
      <c r="A137" s="107"/>
      <c r="B137" s="107"/>
      <c r="C137" s="107"/>
      <c r="D137" s="107"/>
      <c r="E137" s="107"/>
      <c r="F137" s="132" t="s">
        <v>104</v>
      </c>
      <c r="G137" s="107"/>
      <c r="H137" s="118">
        <v>0</v>
      </c>
      <c r="I137" s="118">
        <v>0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18">
        <v>0</v>
      </c>
      <c r="Q137" s="118">
        <v>0</v>
      </c>
      <c r="R137" s="118">
        <v>0</v>
      </c>
      <c r="S137" s="118">
        <v>0</v>
      </c>
      <c r="T137" s="118">
        <v>0</v>
      </c>
      <c r="U137" s="118">
        <v>0</v>
      </c>
      <c r="V137" s="118">
        <v>0</v>
      </c>
      <c r="W137" s="118">
        <v>0</v>
      </c>
      <c r="X137" s="118">
        <v>0</v>
      </c>
      <c r="Y137" s="130">
        <f t="shared" si="17"/>
        <v>0</v>
      </c>
      <c r="Z137" s="113">
        <f t="shared" si="16"/>
        <v>0</v>
      </c>
    </row>
    <row r="138" spans="1:26" ht="15.75" hidden="1" thickBot="1" x14ac:dyDescent="0.3">
      <c r="A138" s="107"/>
      <c r="B138" s="107"/>
      <c r="C138" s="107"/>
      <c r="D138" s="107"/>
      <c r="E138" s="107"/>
      <c r="F138" s="132" t="s">
        <v>105</v>
      </c>
      <c r="G138" s="107"/>
      <c r="H138" s="118">
        <v>0</v>
      </c>
      <c r="I138" s="118">
        <v>0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18">
        <v>0</v>
      </c>
      <c r="Q138" s="118">
        <v>0</v>
      </c>
      <c r="R138" s="118">
        <v>0</v>
      </c>
      <c r="S138" s="118">
        <v>0</v>
      </c>
      <c r="T138" s="118">
        <v>0</v>
      </c>
      <c r="U138" s="118">
        <v>0</v>
      </c>
      <c r="V138" s="118">
        <v>0</v>
      </c>
      <c r="W138" s="118">
        <v>0</v>
      </c>
      <c r="X138" s="118">
        <v>0</v>
      </c>
      <c r="Y138" s="130">
        <f t="shared" si="17"/>
        <v>0</v>
      </c>
      <c r="Z138" s="113">
        <f t="shared" si="16"/>
        <v>0</v>
      </c>
    </row>
    <row r="139" spans="1:26" ht="15.75" hidden="1" thickBot="1" x14ac:dyDescent="0.3">
      <c r="A139" s="107"/>
      <c r="B139" s="107"/>
      <c r="C139" s="107"/>
      <c r="D139" s="107"/>
      <c r="E139" s="107" t="s">
        <v>106</v>
      </c>
      <c r="F139" s="107"/>
      <c r="G139" s="107"/>
      <c r="H139" s="131">
        <f>ROUND(SUM(H118:H138),5)</f>
        <v>0</v>
      </c>
      <c r="I139" s="131">
        <f t="shared" ref="I139:Y139" si="18">ROUND(SUM(I118:I138),5)</f>
        <v>0</v>
      </c>
      <c r="J139" s="131">
        <f t="shared" si="18"/>
        <v>0</v>
      </c>
      <c r="K139" s="131">
        <f t="shared" si="18"/>
        <v>0</v>
      </c>
      <c r="L139" s="131">
        <f t="shared" si="18"/>
        <v>0</v>
      </c>
      <c r="M139" s="131">
        <f t="shared" si="18"/>
        <v>0</v>
      </c>
      <c r="N139" s="131">
        <f t="shared" si="18"/>
        <v>0</v>
      </c>
      <c r="O139" s="131">
        <f t="shared" si="18"/>
        <v>0</v>
      </c>
      <c r="P139" s="131">
        <f t="shared" si="18"/>
        <v>0</v>
      </c>
      <c r="Q139" s="131">
        <f t="shared" si="18"/>
        <v>0</v>
      </c>
      <c r="R139" s="131">
        <f t="shared" si="18"/>
        <v>0</v>
      </c>
      <c r="S139" s="131">
        <f t="shared" si="18"/>
        <v>0</v>
      </c>
      <c r="T139" s="131">
        <f t="shared" si="18"/>
        <v>0</v>
      </c>
      <c r="U139" s="131">
        <f t="shared" si="18"/>
        <v>0</v>
      </c>
      <c r="V139" s="131">
        <f t="shared" si="18"/>
        <v>0</v>
      </c>
      <c r="W139" s="131">
        <f t="shared" si="18"/>
        <v>0</v>
      </c>
      <c r="X139" s="131">
        <f t="shared" si="18"/>
        <v>0</v>
      </c>
      <c r="Y139" s="131">
        <f t="shared" si="18"/>
        <v>0</v>
      </c>
      <c r="Z139" s="113">
        <f t="shared" si="16"/>
        <v>0</v>
      </c>
    </row>
    <row r="140" spans="1:26" hidden="1" x14ac:dyDescent="0.25">
      <c r="A140" s="107"/>
      <c r="B140" s="107"/>
      <c r="C140" s="107"/>
      <c r="D140" s="107" t="s">
        <v>164</v>
      </c>
      <c r="E140" s="107"/>
      <c r="F140" s="107"/>
      <c r="G140" s="107"/>
      <c r="H140" s="118">
        <f>ROUND(H28+H37+H61+H83+H116+H139,5)</f>
        <v>0</v>
      </c>
      <c r="I140" s="118">
        <f t="shared" ref="I140:X140" si="19">ROUND(I28+I37+I61+I83+I116+I139,5)</f>
        <v>0</v>
      </c>
      <c r="J140" s="118">
        <f t="shared" si="19"/>
        <v>0</v>
      </c>
      <c r="K140" s="118">
        <f t="shared" si="19"/>
        <v>0</v>
      </c>
      <c r="L140" s="118">
        <f t="shared" si="19"/>
        <v>0</v>
      </c>
      <c r="M140" s="118">
        <f t="shared" si="19"/>
        <v>0</v>
      </c>
      <c r="N140" s="118">
        <f t="shared" si="19"/>
        <v>0</v>
      </c>
      <c r="O140" s="118">
        <f t="shared" si="19"/>
        <v>0</v>
      </c>
      <c r="P140" s="118">
        <f t="shared" si="19"/>
        <v>0</v>
      </c>
      <c r="Q140" s="118">
        <f t="shared" si="19"/>
        <v>0</v>
      </c>
      <c r="R140" s="118">
        <f t="shared" si="19"/>
        <v>0</v>
      </c>
      <c r="S140" s="118">
        <f t="shared" si="19"/>
        <v>0</v>
      </c>
      <c r="T140" s="118">
        <f t="shared" si="19"/>
        <v>0</v>
      </c>
      <c r="U140" s="118">
        <f t="shared" si="19"/>
        <v>0</v>
      </c>
      <c r="V140" s="118">
        <f t="shared" si="19"/>
        <v>0</v>
      </c>
      <c r="W140" s="118">
        <f t="shared" si="19"/>
        <v>0</v>
      </c>
      <c r="X140" s="118">
        <f t="shared" si="19"/>
        <v>0</v>
      </c>
      <c r="Y140" s="130">
        <f t="shared" si="17"/>
        <v>0</v>
      </c>
      <c r="Z140" s="113">
        <f t="shared" si="16"/>
        <v>0</v>
      </c>
    </row>
    <row r="141" spans="1:26" hidden="1" x14ac:dyDescent="0.25">
      <c r="A141" s="107"/>
      <c r="B141" s="107"/>
      <c r="C141" s="107"/>
      <c r="D141" s="107" t="s">
        <v>128</v>
      </c>
      <c r="E141" s="107"/>
      <c r="F141" s="107"/>
      <c r="G141" s="107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30"/>
    </row>
    <row r="142" spans="1:26" hidden="1" x14ac:dyDescent="0.25">
      <c r="A142" s="107"/>
      <c r="B142" s="107"/>
      <c r="C142" s="107"/>
      <c r="D142" s="107"/>
      <c r="F142" s="107" t="s">
        <v>123</v>
      </c>
      <c r="G142" s="107"/>
      <c r="H142" s="118">
        <v>0</v>
      </c>
      <c r="I142" s="118">
        <v>0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18">
        <v>0</v>
      </c>
      <c r="Q142" s="118">
        <v>0</v>
      </c>
      <c r="R142" s="118">
        <v>0</v>
      </c>
      <c r="S142" s="118">
        <v>0</v>
      </c>
      <c r="T142" s="118">
        <v>0</v>
      </c>
      <c r="U142" s="118">
        <v>0</v>
      </c>
      <c r="V142" s="118">
        <v>0</v>
      </c>
      <c r="W142" s="118">
        <v>0</v>
      </c>
      <c r="X142" s="118">
        <v>0</v>
      </c>
      <c r="Y142" s="130">
        <f t="shared" si="17"/>
        <v>0</v>
      </c>
      <c r="Z142" s="113">
        <f t="shared" si="16"/>
        <v>0</v>
      </c>
    </row>
    <row r="143" spans="1:26" hidden="1" x14ac:dyDescent="0.25">
      <c r="A143" s="107"/>
      <c r="B143" s="107"/>
      <c r="C143" s="107"/>
      <c r="D143" s="107"/>
      <c r="F143" s="107" t="s">
        <v>124</v>
      </c>
      <c r="G143" s="107"/>
      <c r="H143" s="118">
        <v>0</v>
      </c>
      <c r="I143" s="118">
        <v>0</v>
      </c>
      <c r="J143" s="118">
        <v>0</v>
      </c>
      <c r="K143" s="118">
        <v>0</v>
      </c>
      <c r="L143" s="118">
        <v>0</v>
      </c>
      <c r="M143" s="118">
        <f>(+$V$19*'Master Input Tab'!$B$8*'Master Input Tab'!$B$9)/12</f>
        <v>0</v>
      </c>
      <c r="N143" s="118">
        <f>(+$V$19*'Master Input Tab'!$B$8*'Master Input Tab'!$B$9)/12</f>
        <v>0</v>
      </c>
      <c r="O143" s="118">
        <f>(+$V$19*'Master Input Tab'!$B$8*'Master Input Tab'!$B$9)/12</f>
        <v>0</v>
      </c>
      <c r="P143" s="118">
        <f>(+$V$19*'Master Input Tab'!$B$8*'Master Input Tab'!$B$9)/12</f>
        <v>0</v>
      </c>
      <c r="Q143" s="118">
        <f>(+$V$19*'Master Input Tab'!$B$8*'Master Input Tab'!$B$9)/12</f>
        <v>0</v>
      </c>
      <c r="R143" s="118">
        <f>(+$V$19*'Master Input Tab'!$B$8*'Master Input Tab'!$B$9)/12</f>
        <v>0</v>
      </c>
      <c r="S143" s="118">
        <f>(+$V$19*'Master Input Tab'!$B$8*'Master Input Tab'!$B$9)/12</f>
        <v>0</v>
      </c>
      <c r="T143" s="118">
        <f>(+$V$19*'Master Input Tab'!$B$8*'Master Input Tab'!$B$9)/12</f>
        <v>0</v>
      </c>
      <c r="U143" s="118">
        <f>(+$V$19*'Master Input Tab'!$B$8*'Master Input Tab'!$B$9)/12</f>
        <v>0</v>
      </c>
      <c r="V143" s="118">
        <f>(+$V$19*'Master Input Tab'!$B$8*'Master Input Tab'!$B$9)/12</f>
        <v>0</v>
      </c>
      <c r="W143" s="118">
        <f>(+$V$19*'Master Input Tab'!$B$8*'Master Input Tab'!$B$9)/12</f>
        <v>0</v>
      </c>
      <c r="X143" s="118">
        <f>(+$V$19*'Master Input Tab'!$B$8*'Master Input Tab'!$B$9)/12</f>
        <v>0</v>
      </c>
      <c r="Y143" s="130">
        <f t="shared" si="17"/>
        <v>0</v>
      </c>
      <c r="Z143" s="113">
        <f t="shared" si="16"/>
        <v>0</v>
      </c>
    </row>
    <row r="144" spans="1:26" hidden="1" x14ac:dyDescent="0.25">
      <c r="A144" s="107"/>
      <c r="B144" s="107"/>
      <c r="C144" s="107"/>
      <c r="D144" s="107"/>
      <c r="F144" s="107" t="s">
        <v>125</v>
      </c>
      <c r="G144" s="107"/>
      <c r="H144" s="118">
        <v>0</v>
      </c>
      <c r="I144" s="118">
        <v>0</v>
      </c>
      <c r="J144" s="118">
        <v>0</v>
      </c>
      <c r="K144" s="118">
        <v>0</v>
      </c>
      <c r="L144" s="118">
        <v>0</v>
      </c>
      <c r="M144" s="118">
        <v>0</v>
      </c>
      <c r="N144" s="118">
        <v>0</v>
      </c>
      <c r="O144" s="118">
        <v>0</v>
      </c>
      <c r="P144" s="118">
        <v>0</v>
      </c>
      <c r="Q144" s="118">
        <v>0</v>
      </c>
      <c r="R144" s="118">
        <v>0</v>
      </c>
      <c r="S144" s="118">
        <v>0</v>
      </c>
      <c r="T144" s="118">
        <v>0</v>
      </c>
      <c r="U144" s="118">
        <v>0</v>
      </c>
      <c r="V144" s="118">
        <v>0</v>
      </c>
      <c r="W144" s="118">
        <v>0</v>
      </c>
      <c r="X144" s="118">
        <v>0</v>
      </c>
      <c r="Y144" s="130">
        <f t="shared" si="17"/>
        <v>0</v>
      </c>
      <c r="Z144" s="113">
        <f t="shared" si="16"/>
        <v>0</v>
      </c>
    </row>
    <row r="145" spans="1:26" hidden="1" x14ac:dyDescent="0.25">
      <c r="A145" s="107"/>
      <c r="B145" s="107"/>
      <c r="C145" s="107"/>
      <c r="D145" s="107"/>
      <c r="F145" s="107" t="s">
        <v>126</v>
      </c>
      <c r="G145" s="107"/>
      <c r="H145" s="118">
        <v>0</v>
      </c>
      <c r="I145" s="118">
        <v>0</v>
      </c>
      <c r="J145" s="118">
        <v>0</v>
      </c>
      <c r="K145" s="118">
        <v>0</v>
      </c>
      <c r="L145" s="118">
        <v>0</v>
      </c>
      <c r="M145" s="118">
        <v>0</v>
      </c>
      <c r="N145" s="118">
        <v>0</v>
      </c>
      <c r="O145" s="118">
        <v>0</v>
      </c>
      <c r="P145" s="118">
        <v>0</v>
      </c>
      <c r="Q145" s="118">
        <v>0</v>
      </c>
      <c r="R145" s="118">
        <v>0</v>
      </c>
      <c r="S145" s="118">
        <v>0</v>
      </c>
      <c r="T145" s="118">
        <v>0</v>
      </c>
      <c r="U145" s="118">
        <v>0</v>
      </c>
      <c r="V145" s="118">
        <v>0</v>
      </c>
      <c r="W145" s="118">
        <v>0</v>
      </c>
      <c r="X145" s="118">
        <v>0</v>
      </c>
      <c r="Y145" s="130">
        <f t="shared" si="17"/>
        <v>0</v>
      </c>
      <c r="Z145" s="113">
        <f t="shared" si="16"/>
        <v>0</v>
      </c>
    </row>
    <row r="146" spans="1:26" ht="15.75" hidden="1" thickBot="1" x14ac:dyDescent="0.3">
      <c r="A146" s="107"/>
      <c r="B146" s="107"/>
      <c r="C146" s="107"/>
      <c r="D146" s="107"/>
      <c r="F146" s="107" t="s">
        <v>127</v>
      </c>
      <c r="G146" s="107"/>
      <c r="H146" s="134">
        <v>0</v>
      </c>
      <c r="I146" s="134">
        <v>0</v>
      </c>
      <c r="J146" s="134">
        <v>0</v>
      </c>
      <c r="K146" s="134">
        <v>0</v>
      </c>
      <c r="L146" s="134">
        <v>0</v>
      </c>
      <c r="M146" s="134">
        <f>($V$19*'Master Input Tab'!$B$8)</f>
        <v>0</v>
      </c>
      <c r="N146" s="134">
        <v>0</v>
      </c>
      <c r="O146" s="134">
        <v>0</v>
      </c>
      <c r="P146" s="134">
        <v>0</v>
      </c>
      <c r="Q146" s="134">
        <v>0</v>
      </c>
      <c r="R146" s="134">
        <v>0</v>
      </c>
      <c r="S146" s="134">
        <v>0</v>
      </c>
      <c r="T146" s="134">
        <v>0</v>
      </c>
      <c r="U146" s="134">
        <v>0</v>
      </c>
      <c r="V146" s="134">
        <v>0</v>
      </c>
      <c r="W146" s="134">
        <v>0</v>
      </c>
      <c r="X146" s="134">
        <v>0</v>
      </c>
      <c r="Y146" s="135">
        <f t="shared" si="17"/>
        <v>0</v>
      </c>
      <c r="Z146" s="113">
        <f t="shared" si="16"/>
        <v>0</v>
      </c>
    </row>
    <row r="147" spans="1:26" hidden="1" x14ac:dyDescent="0.25">
      <c r="A147" s="107"/>
      <c r="B147" s="107"/>
      <c r="C147" s="107"/>
      <c r="D147" s="107" t="s">
        <v>165</v>
      </c>
      <c r="E147" s="107"/>
      <c r="F147" s="107"/>
      <c r="G147" s="107"/>
      <c r="H147" s="118">
        <f>ROUND(SUM(H142:H146),5)</f>
        <v>0</v>
      </c>
      <c r="I147" s="118">
        <f t="shared" ref="I147:Y147" si="20">ROUND(SUM(I142:I146),5)</f>
        <v>0</v>
      </c>
      <c r="J147" s="118">
        <f t="shared" si="20"/>
        <v>0</v>
      </c>
      <c r="K147" s="118">
        <f t="shared" si="20"/>
        <v>0</v>
      </c>
      <c r="L147" s="118">
        <f t="shared" si="20"/>
        <v>0</v>
      </c>
      <c r="M147" s="118">
        <f t="shared" si="20"/>
        <v>0</v>
      </c>
      <c r="N147" s="118">
        <f t="shared" si="20"/>
        <v>0</v>
      </c>
      <c r="O147" s="118">
        <f t="shared" si="20"/>
        <v>0</v>
      </c>
      <c r="P147" s="118">
        <f t="shared" si="20"/>
        <v>0</v>
      </c>
      <c r="Q147" s="118">
        <f t="shared" si="20"/>
        <v>0</v>
      </c>
      <c r="R147" s="118">
        <f t="shared" si="20"/>
        <v>0</v>
      </c>
      <c r="S147" s="118">
        <f t="shared" si="20"/>
        <v>0</v>
      </c>
      <c r="T147" s="118">
        <f t="shared" si="20"/>
        <v>0</v>
      </c>
      <c r="U147" s="118">
        <f t="shared" si="20"/>
        <v>0</v>
      </c>
      <c r="V147" s="118">
        <f t="shared" si="20"/>
        <v>0</v>
      </c>
      <c r="W147" s="118">
        <f t="shared" si="20"/>
        <v>0</v>
      </c>
      <c r="X147" s="118">
        <f t="shared" si="20"/>
        <v>0</v>
      </c>
      <c r="Y147" s="118">
        <f t="shared" si="20"/>
        <v>0</v>
      </c>
      <c r="Z147" s="113">
        <f t="shared" si="16"/>
        <v>0</v>
      </c>
    </row>
    <row r="148" spans="1:26" hidden="1" x14ac:dyDescent="0.25">
      <c r="A148" s="107"/>
      <c r="B148" s="107"/>
      <c r="C148" s="107"/>
      <c r="D148" s="107" t="s">
        <v>107</v>
      </c>
      <c r="E148" s="107"/>
      <c r="F148" s="107"/>
      <c r="G148" s="107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30"/>
    </row>
    <row r="149" spans="1:26" hidden="1" x14ac:dyDescent="0.25">
      <c r="A149" s="107"/>
      <c r="B149" s="107"/>
      <c r="C149" s="107"/>
      <c r="D149" s="107"/>
      <c r="F149" s="132" t="s">
        <v>108</v>
      </c>
      <c r="G149" s="107"/>
      <c r="H149" s="133">
        <v>0</v>
      </c>
      <c r="I149" s="133">
        <v>0</v>
      </c>
      <c r="J149" s="133">
        <v>0</v>
      </c>
      <c r="K149" s="133">
        <v>0</v>
      </c>
      <c r="L149" s="133">
        <v>0</v>
      </c>
      <c r="M149" s="133">
        <v>0</v>
      </c>
      <c r="N149" s="133">
        <v>0</v>
      </c>
      <c r="O149" s="133">
        <v>0</v>
      </c>
      <c r="P149" s="133">
        <v>0</v>
      </c>
      <c r="Q149" s="133">
        <v>0</v>
      </c>
      <c r="R149" s="133">
        <v>0</v>
      </c>
      <c r="S149" s="133">
        <v>0</v>
      </c>
      <c r="T149" s="133">
        <v>0</v>
      </c>
      <c r="U149" s="133">
        <v>0</v>
      </c>
      <c r="V149" s="133">
        <v>0</v>
      </c>
      <c r="W149" s="133">
        <v>0</v>
      </c>
      <c r="X149" s="133">
        <v>0</v>
      </c>
      <c r="Y149" s="130">
        <f t="shared" si="17"/>
        <v>0</v>
      </c>
      <c r="Z149" s="113">
        <f t="shared" si="16"/>
        <v>0</v>
      </c>
    </row>
    <row r="150" spans="1:26" ht="15.75" hidden="1" thickBot="1" x14ac:dyDescent="0.3">
      <c r="A150" s="107"/>
      <c r="B150" s="107"/>
      <c r="C150" s="107"/>
      <c r="D150" s="107"/>
      <c r="F150" s="132" t="s">
        <v>109</v>
      </c>
      <c r="G150" s="107"/>
      <c r="H150" s="134">
        <v>0</v>
      </c>
      <c r="I150" s="134">
        <v>0</v>
      </c>
      <c r="J150" s="134">
        <v>0</v>
      </c>
      <c r="K150" s="134">
        <v>0</v>
      </c>
      <c r="L150" s="134">
        <v>0</v>
      </c>
      <c r="M150" s="134">
        <f>Security!C12</f>
        <v>0</v>
      </c>
      <c r="N150" s="134">
        <f>Security!D12</f>
        <v>0</v>
      </c>
      <c r="O150" s="134">
        <f>Security!E12</f>
        <v>0</v>
      </c>
      <c r="P150" s="134">
        <f>Security!F12</f>
        <v>0</v>
      </c>
      <c r="Q150" s="134">
        <f>Security!G12</f>
        <v>0</v>
      </c>
      <c r="R150" s="134">
        <f>Security!H12</f>
        <v>0</v>
      </c>
      <c r="S150" s="134">
        <f>Security!I12</f>
        <v>0</v>
      </c>
      <c r="T150" s="134">
        <f>Security!J12</f>
        <v>0</v>
      </c>
      <c r="U150" s="134">
        <f>Security!K12</f>
        <v>0</v>
      </c>
      <c r="V150" s="134">
        <f>Security!L12</f>
        <v>0</v>
      </c>
      <c r="W150" s="134">
        <f>Security!M12</f>
        <v>0</v>
      </c>
      <c r="X150" s="134">
        <f>Security!N12</f>
        <v>0</v>
      </c>
      <c r="Y150" s="135">
        <f t="shared" si="17"/>
        <v>0</v>
      </c>
      <c r="Z150" s="113">
        <f t="shared" si="16"/>
        <v>0</v>
      </c>
    </row>
    <row r="151" spans="1:26" hidden="1" x14ac:dyDescent="0.25">
      <c r="A151" s="107"/>
      <c r="B151" s="107"/>
      <c r="C151" s="107"/>
      <c r="D151" s="107" t="s">
        <v>110</v>
      </c>
      <c r="E151" s="107"/>
      <c r="F151" s="107"/>
      <c r="G151" s="107"/>
      <c r="H151" s="118">
        <f>ROUND(SUM(H149:H150),5)</f>
        <v>0</v>
      </c>
      <c r="I151" s="118">
        <f t="shared" ref="I151:Y151" si="21">ROUND(SUM(I149:I150),5)</f>
        <v>0</v>
      </c>
      <c r="J151" s="118">
        <f t="shared" si="21"/>
        <v>0</v>
      </c>
      <c r="K151" s="118">
        <f t="shared" si="21"/>
        <v>0</v>
      </c>
      <c r="L151" s="118">
        <f t="shared" si="21"/>
        <v>0</v>
      </c>
      <c r="M151" s="118">
        <f t="shared" si="21"/>
        <v>0</v>
      </c>
      <c r="N151" s="118">
        <f t="shared" si="21"/>
        <v>0</v>
      </c>
      <c r="O151" s="118">
        <f t="shared" si="21"/>
        <v>0</v>
      </c>
      <c r="P151" s="118">
        <f t="shared" si="21"/>
        <v>0</v>
      </c>
      <c r="Q151" s="118">
        <f t="shared" si="21"/>
        <v>0</v>
      </c>
      <c r="R151" s="118">
        <f t="shared" si="21"/>
        <v>0</v>
      </c>
      <c r="S151" s="118">
        <f t="shared" si="21"/>
        <v>0</v>
      </c>
      <c r="T151" s="118">
        <f t="shared" si="21"/>
        <v>0</v>
      </c>
      <c r="U151" s="118">
        <f t="shared" si="21"/>
        <v>0</v>
      </c>
      <c r="V151" s="118">
        <f t="shared" si="21"/>
        <v>0</v>
      </c>
      <c r="W151" s="118">
        <f t="shared" si="21"/>
        <v>0</v>
      </c>
      <c r="X151" s="118">
        <f t="shared" si="21"/>
        <v>0</v>
      </c>
      <c r="Y151" s="118">
        <f t="shared" si="21"/>
        <v>0</v>
      </c>
      <c r="Z151" s="113">
        <f t="shared" si="16"/>
        <v>0</v>
      </c>
    </row>
    <row r="152" spans="1:26" x14ac:dyDescent="0.25">
      <c r="A152" s="107"/>
      <c r="B152" s="107"/>
      <c r="C152" s="107"/>
      <c r="E152" s="107"/>
      <c r="F152" s="107" t="s">
        <v>166</v>
      </c>
      <c r="G152" s="107"/>
      <c r="H152" s="118">
        <f>Finance!M9</f>
        <v>0</v>
      </c>
      <c r="I152" s="118">
        <f>Finance!N9</f>
        <v>0</v>
      </c>
      <c r="J152" s="118">
        <f>Finance!O9</f>
        <v>0</v>
      </c>
      <c r="K152" s="118">
        <f>Finance!P9</f>
        <v>0</v>
      </c>
      <c r="L152" s="118">
        <f>Finance!Q9</f>
        <v>0</v>
      </c>
      <c r="M152" s="133">
        <f>Finance!C22</f>
        <v>0</v>
      </c>
      <c r="N152" s="133">
        <f>Finance!D22</f>
        <v>0</v>
      </c>
      <c r="O152" s="133">
        <f>Finance!E22</f>
        <v>0</v>
      </c>
      <c r="P152" s="133">
        <f>Finance!F22</f>
        <v>0</v>
      </c>
      <c r="Q152" s="133">
        <f>Finance!G22</f>
        <v>0</v>
      </c>
      <c r="R152" s="133">
        <f>Finance!H22</f>
        <v>0</v>
      </c>
      <c r="S152" s="133">
        <f>Finance!I22</f>
        <v>0</v>
      </c>
      <c r="T152" s="133">
        <f>Finance!J22</f>
        <v>0</v>
      </c>
      <c r="U152" s="133">
        <f>Finance!K22</f>
        <v>0</v>
      </c>
      <c r="V152" s="133">
        <f>Finance!L22</f>
        <v>0</v>
      </c>
      <c r="W152" s="133">
        <f>Finance!M22</f>
        <v>0</v>
      </c>
      <c r="X152" s="133">
        <f>Finance!N22</f>
        <v>0</v>
      </c>
      <c r="Y152" s="130">
        <f t="shared" si="17"/>
        <v>0</v>
      </c>
      <c r="Z152" s="113">
        <f t="shared" si="16"/>
        <v>0</v>
      </c>
    </row>
    <row r="153" spans="1:26" x14ac:dyDescent="0.25">
      <c r="A153" s="107"/>
      <c r="B153" s="107"/>
      <c r="C153" s="107"/>
      <c r="E153" s="107"/>
      <c r="F153" s="107" t="s">
        <v>266</v>
      </c>
      <c r="G153" s="107"/>
      <c r="H153" s="118">
        <f>-Finance!M10</f>
        <v>-12370.629687499999</v>
      </c>
      <c r="I153" s="118">
        <f>-Finance!N10</f>
        <v>-12556.189132812498</v>
      </c>
      <c r="J153" s="118">
        <f>-Finance!O10</f>
        <v>-12744.531969804684</v>
      </c>
      <c r="K153" s="118">
        <f>-Finance!P10</f>
        <v>-12935.699949351752</v>
      </c>
      <c r="L153" s="118">
        <f>-Finance!Q10</f>
        <v>-13129.73544859203</v>
      </c>
      <c r="M153" s="133">
        <f>-Finance!C23</f>
        <v>0</v>
      </c>
      <c r="N153" s="133">
        <f>-Finance!D23</f>
        <v>0</v>
      </c>
      <c r="O153" s="133">
        <f>-Finance!E23</f>
        <v>0</v>
      </c>
      <c r="P153" s="133">
        <f>-Finance!F23</f>
        <v>0</v>
      </c>
      <c r="Q153" s="133">
        <f>-Finance!G23</f>
        <v>0</v>
      </c>
      <c r="R153" s="133">
        <f>-Finance!H23</f>
        <v>-12370.629687499999</v>
      </c>
      <c r="S153" s="133">
        <f>-Finance!I23</f>
        <v>0</v>
      </c>
      <c r="T153" s="133">
        <f>-Finance!J23</f>
        <v>0</v>
      </c>
      <c r="U153" s="133">
        <f>-Finance!K23</f>
        <v>0</v>
      </c>
      <c r="V153" s="133">
        <f>-Finance!L23</f>
        <v>0</v>
      </c>
      <c r="W153" s="133">
        <f>-Finance!M23</f>
        <v>0</v>
      </c>
      <c r="X153" s="133">
        <f>-Finance!N23</f>
        <v>0</v>
      </c>
      <c r="Y153" s="130">
        <f t="shared" si="17"/>
        <v>-12370.629687499999</v>
      </c>
      <c r="Z153" s="113">
        <f t="shared" si="16"/>
        <v>0</v>
      </c>
    </row>
    <row r="154" spans="1:26" ht="15.75" thickBot="1" x14ac:dyDescent="0.3">
      <c r="A154" s="107"/>
      <c r="B154" s="107"/>
      <c r="C154" s="107"/>
      <c r="E154" s="107"/>
      <c r="F154" s="107" t="s">
        <v>167</v>
      </c>
      <c r="G154" s="107"/>
      <c r="H154" s="133">
        <f>Finance!M11</f>
        <v>0</v>
      </c>
      <c r="I154" s="133">
        <f>Finance!N11</f>
        <v>0</v>
      </c>
      <c r="J154" s="133">
        <f>Finance!O11</f>
        <v>0</v>
      </c>
      <c r="K154" s="133">
        <f>Finance!P11</f>
        <v>0</v>
      </c>
      <c r="L154" s="133">
        <f>Finance!Q11</f>
        <v>0</v>
      </c>
      <c r="M154" s="134">
        <f>Finance!C24</f>
        <v>0</v>
      </c>
      <c r="N154" s="134">
        <f>Finance!D24</f>
        <v>0</v>
      </c>
      <c r="O154" s="134">
        <f>Finance!E24</f>
        <v>0</v>
      </c>
      <c r="P154" s="134">
        <f>Finance!F24</f>
        <v>0</v>
      </c>
      <c r="Q154" s="134">
        <f>Finance!G24</f>
        <v>0</v>
      </c>
      <c r="R154" s="134">
        <f>Finance!H24</f>
        <v>0</v>
      </c>
      <c r="S154" s="134">
        <f>Finance!I24</f>
        <v>0</v>
      </c>
      <c r="T154" s="134">
        <f>Finance!J24</f>
        <v>0</v>
      </c>
      <c r="U154" s="134">
        <f>Finance!K24</f>
        <v>0</v>
      </c>
      <c r="V154" s="134">
        <f>Finance!L24</f>
        <v>0</v>
      </c>
      <c r="W154" s="134">
        <f>Finance!M24</f>
        <v>0</v>
      </c>
      <c r="X154" s="134">
        <f>Finance!N24</f>
        <v>0</v>
      </c>
      <c r="Y154" s="130">
        <f t="shared" si="17"/>
        <v>0</v>
      </c>
      <c r="Z154" s="113">
        <f t="shared" si="16"/>
        <v>0</v>
      </c>
    </row>
    <row r="155" spans="1:26" ht="15.75" thickBot="1" x14ac:dyDescent="0.3">
      <c r="A155" s="107"/>
      <c r="B155" s="107"/>
      <c r="C155" s="107" t="s">
        <v>164</v>
      </c>
      <c r="D155" s="107"/>
      <c r="E155" s="107"/>
      <c r="F155" s="107"/>
      <c r="G155" s="107"/>
      <c r="H155" s="136">
        <f>ROUND(H140+H147+SUM(H151:H154),5)</f>
        <v>-12370.62969</v>
      </c>
      <c r="I155" s="136">
        <f t="shared" ref="I155:Y155" si="22">ROUND(I140+I147+SUM(I151:I154),5)</f>
        <v>-12556.189130000001</v>
      </c>
      <c r="J155" s="136">
        <f t="shared" si="22"/>
        <v>-12744.53197</v>
      </c>
      <c r="K155" s="136">
        <f t="shared" si="22"/>
        <v>-12935.69995</v>
      </c>
      <c r="L155" s="136">
        <f t="shared" si="22"/>
        <v>-13129.73545</v>
      </c>
      <c r="M155" s="136">
        <f t="shared" si="22"/>
        <v>0</v>
      </c>
      <c r="N155" s="136">
        <f t="shared" si="22"/>
        <v>0</v>
      </c>
      <c r="O155" s="136">
        <f t="shared" si="22"/>
        <v>0</v>
      </c>
      <c r="P155" s="136">
        <f t="shared" si="22"/>
        <v>0</v>
      </c>
      <c r="Q155" s="136">
        <f t="shared" si="22"/>
        <v>0</v>
      </c>
      <c r="R155" s="136">
        <f t="shared" si="22"/>
        <v>-12370.62969</v>
      </c>
      <c r="S155" s="136">
        <f t="shared" si="22"/>
        <v>0</v>
      </c>
      <c r="T155" s="136">
        <f t="shared" si="22"/>
        <v>0</v>
      </c>
      <c r="U155" s="136">
        <f t="shared" si="22"/>
        <v>0</v>
      </c>
      <c r="V155" s="136">
        <f t="shared" si="22"/>
        <v>0</v>
      </c>
      <c r="W155" s="136">
        <f t="shared" si="22"/>
        <v>0</v>
      </c>
      <c r="X155" s="136">
        <f t="shared" si="22"/>
        <v>0</v>
      </c>
      <c r="Y155" s="136">
        <f t="shared" si="22"/>
        <v>-12370.62969</v>
      </c>
      <c r="Z155" s="113">
        <f t="shared" si="16"/>
        <v>0</v>
      </c>
    </row>
    <row r="156" spans="1:26" ht="15.75" thickBot="1" x14ac:dyDescent="0.3">
      <c r="A156" s="107" t="s">
        <v>168</v>
      </c>
      <c r="B156" s="107"/>
      <c r="C156" s="107"/>
      <c r="D156" s="107"/>
      <c r="E156" s="107"/>
      <c r="F156" s="107"/>
      <c r="G156" s="107"/>
      <c r="H156" s="136">
        <f>ROUND(+H26-H155,5)</f>
        <v>12370.62969</v>
      </c>
      <c r="I156" s="136">
        <f t="shared" ref="I156:Y156" si="23">ROUND(+I26-I155,5)</f>
        <v>12556.189130000001</v>
      </c>
      <c r="J156" s="136">
        <f t="shared" si="23"/>
        <v>12744.53197</v>
      </c>
      <c r="K156" s="136">
        <f t="shared" si="23"/>
        <v>12935.69995</v>
      </c>
      <c r="L156" s="136">
        <f t="shared" si="23"/>
        <v>13129.73545</v>
      </c>
      <c r="M156" s="136">
        <f t="shared" si="23"/>
        <v>0</v>
      </c>
      <c r="N156" s="136">
        <f t="shared" si="23"/>
        <v>0</v>
      </c>
      <c r="O156" s="136">
        <f t="shared" si="23"/>
        <v>0</v>
      </c>
      <c r="P156" s="136">
        <f t="shared" si="23"/>
        <v>0</v>
      </c>
      <c r="Q156" s="136">
        <f t="shared" si="23"/>
        <v>0</v>
      </c>
      <c r="R156" s="136">
        <f t="shared" si="23"/>
        <v>12370.62969</v>
      </c>
      <c r="S156" s="136">
        <f t="shared" si="23"/>
        <v>0</v>
      </c>
      <c r="T156" s="136">
        <f t="shared" si="23"/>
        <v>0</v>
      </c>
      <c r="U156" s="136">
        <f t="shared" si="23"/>
        <v>0</v>
      </c>
      <c r="V156" s="136">
        <f t="shared" si="23"/>
        <v>0</v>
      </c>
      <c r="W156" s="136">
        <f t="shared" si="23"/>
        <v>0</v>
      </c>
      <c r="X156" s="136">
        <f t="shared" si="23"/>
        <v>0</v>
      </c>
      <c r="Y156" s="136">
        <f t="shared" si="23"/>
        <v>12370.62969</v>
      </c>
      <c r="Z156" s="113">
        <f t="shared" si="16"/>
        <v>0</v>
      </c>
    </row>
    <row r="157" spans="1:26" ht="15.75" thickBot="1" x14ac:dyDescent="0.3">
      <c r="A157" s="107"/>
      <c r="B157" s="107"/>
      <c r="C157" s="107"/>
      <c r="D157" s="107"/>
      <c r="E157" s="107"/>
      <c r="F157" s="107"/>
      <c r="G157" s="107"/>
      <c r="H157" s="137">
        <f>H156</f>
        <v>12370.62969</v>
      </c>
      <c r="I157" s="137">
        <f t="shared" ref="I157:Y157" si="24">I156</f>
        <v>12556.189130000001</v>
      </c>
      <c r="J157" s="137">
        <f t="shared" si="24"/>
        <v>12744.53197</v>
      </c>
      <c r="K157" s="137">
        <f t="shared" si="24"/>
        <v>12935.69995</v>
      </c>
      <c r="L157" s="137">
        <f t="shared" si="24"/>
        <v>13129.73545</v>
      </c>
      <c r="M157" s="137">
        <f t="shared" si="24"/>
        <v>0</v>
      </c>
      <c r="N157" s="137">
        <f t="shared" si="24"/>
        <v>0</v>
      </c>
      <c r="O157" s="137">
        <f t="shared" si="24"/>
        <v>0</v>
      </c>
      <c r="P157" s="137">
        <f t="shared" si="24"/>
        <v>0</v>
      </c>
      <c r="Q157" s="137">
        <f t="shared" si="24"/>
        <v>0</v>
      </c>
      <c r="R157" s="137">
        <f t="shared" si="24"/>
        <v>12370.62969</v>
      </c>
      <c r="S157" s="137">
        <f t="shared" si="24"/>
        <v>0</v>
      </c>
      <c r="T157" s="137">
        <f t="shared" si="24"/>
        <v>0</v>
      </c>
      <c r="U157" s="137">
        <f t="shared" si="24"/>
        <v>0</v>
      </c>
      <c r="V157" s="137">
        <f t="shared" si="24"/>
        <v>0</v>
      </c>
      <c r="W157" s="137">
        <f t="shared" si="24"/>
        <v>0</v>
      </c>
      <c r="X157" s="137">
        <f t="shared" si="24"/>
        <v>0</v>
      </c>
      <c r="Y157" s="137">
        <f t="shared" si="24"/>
        <v>12370.62969</v>
      </c>
      <c r="Z157" s="113">
        <f t="shared" si="16"/>
        <v>0</v>
      </c>
    </row>
    <row r="158" spans="1:26" ht="15.75" thickTop="1" x14ac:dyDescent="0.25"/>
  </sheetData>
  <sheetProtection password="CC20" sheet="1" objects="1" scenarios="1"/>
  <mergeCells count="2">
    <mergeCell ref="H2:L2"/>
    <mergeCell ref="M2:Y2"/>
  </mergeCells>
  <pageMargins left="0.7" right="0.7" top="0.75" bottom="0.75" header="0.3" footer="0.3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B050"/>
  </sheetPr>
  <dimension ref="A1:F64"/>
  <sheetViews>
    <sheetView workbookViewId="0">
      <selection activeCell="C6" sqref="C6"/>
    </sheetView>
  </sheetViews>
  <sheetFormatPr defaultRowHeight="15" x14ac:dyDescent="0.25"/>
  <cols>
    <col min="1" max="1" width="26.7109375" style="94" customWidth="1"/>
    <col min="2" max="3" width="11.5703125" style="94" bestFit="1" customWidth="1"/>
    <col min="4" max="5" width="11.28515625" style="94" bestFit="1" customWidth="1"/>
    <col min="6" max="6" width="11.5703125" style="94" bestFit="1" customWidth="1"/>
    <col min="7" max="7" width="9.140625" style="94"/>
    <col min="8" max="8" width="26.7109375" style="94" bestFit="1" customWidth="1"/>
    <col min="9" max="9" width="11.5703125" style="94" bestFit="1" customWidth="1"/>
    <col min="10" max="10" width="10.5703125" style="94" bestFit="1" customWidth="1"/>
    <col min="11" max="11" width="11.5703125" style="94" bestFit="1" customWidth="1"/>
    <col min="12" max="12" width="11.5703125" style="94" customWidth="1"/>
    <col min="13" max="13" width="11.5703125" style="94" bestFit="1" customWidth="1"/>
    <col min="14" max="16384" width="9.140625" style="94"/>
  </cols>
  <sheetData>
    <row r="1" spans="1:6" ht="15.75" thickBot="1" x14ac:dyDescent="0.3"/>
    <row r="2" spans="1:6" ht="15.75" thickBot="1" x14ac:dyDescent="0.3">
      <c r="A2" s="99"/>
      <c r="B2" s="139" t="s">
        <v>279</v>
      </c>
      <c r="C2" s="96"/>
      <c r="D2" s="96"/>
      <c r="E2" s="96"/>
      <c r="F2" s="97"/>
    </row>
    <row r="3" spans="1:6" ht="15.75" thickBot="1" x14ac:dyDescent="0.3">
      <c r="B3" s="102" t="str">
        <f>'Total Summary'!$H$4</f>
        <v>2014</v>
      </c>
      <c r="C3" s="102">
        <f>'Total Summary'!$I$4</f>
        <v>2015</v>
      </c>
      <c r="D3" s="102">
        <f>'Total Summary'!$J$4</f>
        <v>2016</v>
      </c>
      <c r="E3" s="102">
        <f>'Total Summary'!$K$4</f>
        <v>2017</v>
      </c>
      <c r="F3" s="102">
        <f>'Total Summary'!$L$4</f>
        <v>2018</v>
      </c>
    </row>
    <row r="4" spans="1:6" x14ac:dyDescent="0.25">
      <c r="A4" s="94" t="s">
        <v>169</v>
      </c>
      <c r="B4" s="109">
        <f>'Total Summary'!H156</f>
        <v>-12953.34151</v>
      </c>
      <c r="C4" s="109">
        <f>'Total Summary'!I156</f>
        <v>-93764.437980000002</v>
      </c>
      <c r="D4" s="109">
        <f>'Total Summary'!J156</f>
        <v>18190.578010000001</v>
      </c>
      <c r="E4" s="109">
        <f>'Total Summary'!K156</f>
        <v>-38104.613080000003</v>
      </c>
      <c r="F4" s="109">
        <f>'Total Summary'!L156</f>
        <v>30054.921699999999</v>
      </c>
    </row>
    <row r="5" spans="1:6" x14ac:dyDescent="0.25">
      <c r="A5" s="94" t="s">
        <v>273</v>
      </c>
      <c r="B5" s="140">
        <v>0</v>
      </c>
      <c r="C5" s="109">
        <f>B5</f>
        <v>0</v>
      </c>
      <c r="D5" s="109">
        <f t="shared" ref="D5:F5" si="0">C5</f>
        <v>0</v>
      </c>
      <c r="E5" s="109">
        <f t="shared" si="0"/>
        <v>0</v>
      </c>
      <c r="F5" s="109">
        <f t="shared" si="0"/>
        <v>0</v>
      </c>
    </row>
    <row r="6" spans="1:6" x14ac:dyDescent="0.25">
      <c r="A6" s="94" t="s">
        <v>274</v>
      </c>
      <c r="B6" s="109">
        <f>+'Total Summary'!H146</f>
        <v>13599.430809999998</v>
      </c>
      <c r="C6" s="109">
        <f>+'Total Summary'!I146</f>
        <v>13803.422272149997</v>
      </c>
      <c r="D6" s="109">
        <f>+'Total Summary'!J146</f>
        <v>14010.473606232246</v>
      </c>
      <c r="E6" s="109">
        <f>+'Total Summary'!K146</f>
        <v>14220.630710325728</v>
      </c>
      <c r="F6" s="109">
        <f>+'Total Summary'!L146</f>
        <v>14433.940170980613</v>
      </c>
    </row>
    <row r="7" spans="1:6" x14ac:dyDescent="0.25">
      <c r="A7" s="94" t="s">
        <v>275</v>
      </c>
      <c r="B7" s="109">
        <f>+'Total Summary'!$H$145</f>
        <v>37750</v>
      </c>
      <c r="C7" s="109">
        <f>+'Total Summary'!$I$145</f>
        <v>37750</v>
      </c>
      <c r="D7" s="109">
        <f>+'Total Summary'!$J$145</f>
        <v>37750</v>
      </c>
      <c r="E7" s="109">
        <f>+'Total Summary'!$K$145</f>
        <v>37750</v>
      </c>
      <c r="F7" s="109">
        <f>+'Total Summary'!$L$145</f>
        <v>37750</v>
      </c>
    </row>
    <row r="8" spans="1:6" x14ac:dyDescent="0.25">
      <c r="A8" s="94" t="s">
        <v>276</v>
      </c>
      <c r="B8" s="109">
        <f>$B$5</f>
        <v>0</v>
      </c>
      <c r="C8" s="109">
        <f>B8</f>
        <v>0</v>
      </c>
      <c r="D8" s="109">
        <f t="shared" ref="D8:F8" si="1">C8</f>
        <v>0</v>
      </c>
      <c r="E8" s="109">
        <f t="shared" si="1"/>
        <v>0</v>
      </c>
      <c r="F8" s="109">
        <f t="shared" si="1"/>
        <v>0</v>
      </c>
    </row>
    <row r="9" spans="1:6" x14ac:dyDescent="0.25">
      <c r="A9" s="94" t="s">
        <v>277</v>
      </c>
      <c r="B9" s="141">
        <f>$B$5</f>
        <v>0</v>
      </c>
      <c r="C9" s="141">
        <f>B9</f>
        <v>0</v>
      </c>
      <c r="D9" s="141">
        <f t="shared" ref="D9:F9" si="2">C9</f>
        <v>0</v>
      </c>
      <c r="E9" s="141">
        <f t="shared" si="2"/>
        <v>0</v>
      </c>
      <c r="F9" s="141">
        <f t="shared" si="2"/>
        <v>0</v>
      </c>
    </row>
    <row r="10" spans="1:6" x14ac:dyDescent="0.25">
      <c r="A10" s="94" t="s">
        <v>278</v>
      </c>
      <c r="B10" s="109">
        <f>SUM(B4:B9)</f>
        <v>38396.0893</v>
      </c>
      <c r="C10" s="109">
        <f t="shared" ref="C10:F10" si="3">SUM(C4:C9)</f>
        <v>-42211.015707850005</v>
      </c>
      <c r="D10" s="109">
        <f>SUM(D4:D9)</f>
        <v>69951.051616232246</v>
      </c>
      <c r="E10" s="109">
        <f t="shared" si="3"/>
        <v>13866.017630325725</v>
      </c>
      <c r="F10" s="109">
        <f t="shared" si="3"/>
        <v>82238.861870980618</v>
      </c>
    </row>
    <row r="11" spans="1:6" x14ac:dyDescent="0.25">
      <c r="A11" s="94" t="s">
        <v>293</v>
      </c>
      <c r="B11" s="142">
        <f>+B24+B37+B50+B62</f>
        <v>290000</v>
      </c>
      <c r="C11" s="141">
        <f>B12</f>
        <v>328396.08929999999</v>
      </c>
      <c r="D11" s="141">
        <f t="shared" ref="D11:F11" si="4">C12</f>
        <v>286185.07359215</v>
      </c>
      <c r="E11" s="141">
        <f t="shared" si="4"/>
        <v>356136.12520838226</v>
      </c>
      <c r="F11" s="141">
        <f t="shared" si="4"/>
        <v>370002.14283870801</v>
      </c>
    </row>
    <row r="12" spans="1:6" ht="15.75" thickBot="1" x14ac:dyDescent="0.3">
      <c r="A12" s="94" t="s">
        <v>289</v>
      </c>
      <c r="B12" s="143">
        <f>SUM(B10:B11)</f>
        <v>328396.08929999999</v>
      </c>
      <c r="C12" s="143">
        <f t="shared" ref="C12:F12" si="5">SUM(C10:C11)</f>
        <v>286185.07359215</v>
      </c>
      <c r="D12" s="143">
        <f t="shared" si="5"/>
        <v>356136.12520838226</v>
      </c>
      <c r="E12" s="143">
        <f t="shared" si="5"/>
        <v>370002.14283870801</v>
      </c>
      <c r="F12" s="143">
        <f t="shared" si="5"/>
        <v>452241.0047096886</v>
      </c>
    </row>
    <row r="13" spans="1:6" ht="15.75" thickTop="1" x14ac:dyDescent="0.25"/>
    <row r="14" spans="1:6" ht="15.75" thickBot="1" x14ac:dyDescent="0.3"/>
    <row r="15" spans="1:6" ht="15.75" thickBot="1" x14ac:dyDescent="0.3">
      <c r="B15" s="139" t="s">
        <v>280</v>
      </c>
      <c r="C15" s="96"/>
      <c r="D15" s="96"/>
      <c r="E15" s="96"/>
      <c r="F15" s="97"/>
    </row>
    <row r="16" spans="1:6" ht="15.75" thickBot="1" x14ac:dyDescent="0.3">
      <c r="B16" s="102" t="str">
        <f>'Total Summary'!$H$4</f>
        <v>2014</v>
      </c>
      <c r="C16" s="102">
        <f>'Total Summary'!$I$4</f>
        <v>2015</v>
      </c>
      <c r="D16" s="102">
        <f>'Total Summary'!$J$4</f>
        <v>2016</v>
      </c>
      <c r="E16" s="102">
        <f>'Total Summary'!$K$4</f>
        <v>2017</v>
      </c>
      <c r="F16" s="102">
        <f>'Total Summary'!$L$4</f>
        <v>2018</v>
      </c>
    </row>
    <row r="17" spans="1:6" x14ac:dyDescent="0.25">
      <c r="A17" s="94" t="s">
        <v>169</v>
      </c>
      <c r="B17" s="109">
        <f>'General Fund'!H156</f>
        <v>-10030.488880000001</v>
      </c>
      <c r="C17" s="109">
        <f>'General Fund'!I156</f>
        <v>-26347.312539999999</v>
      </c>
      <c r="D17" s="109">
        <f>'General Fund'!J156</f>
        <v>-18671.594679999998</v>
      </c>
      <c r="E17" s="109">
        <f>'General Fund'!K156</f>
        <v>-1207.9933599999999</v>
      </c>
      <c r="F17" s="109">
        <f>'General Fund'!L156</f>
        <v>2351.0807199999999</v>
      </c>
    </row>
    <row r="18" spans="1:6" x14ac:dyDescent="0.25">
      <c r="A18" s="94" t="s">
        <v>273</v>
      </c>
      <c r="B18" s="109">
        <f>$B$5</f>
        <v>0</v>
      </c>
      <c r="C18" s="109">
        <f>B18</f>
        <v>0</v>
      </c>
      <c r="D18" s="109">
        <f t="shared" ref="D18:F18" si="6">C18</f>
        <v>0</v>
      </c>
      <c r="E18" s="109">
        <f t="shared" si="6"/>
        <v>0</v>
      </c>
      <c r="F18" s="109">
        <f t="shared" si="6"/>
        <v>0</v>
      </c>
    </row>
    <row r="19" spans="1:6" x14ac:dyDescent="0.25">
      <c r="A19" s="94" t="s">
        <v>274</v>
      </c>
      <c r="B19" s="109">
        <f>+'General Fund'!H146</f>
        <v>9896.5037499999999</v>
      </c>
      <c r="C19" s="109">
        <f>+'General Fund'!I146</f>
        <v>10044.951306249997</v>
      </c>
      <c r="D19" s="109">
        <f>+'General Fund'!J146</f>
        <v>10195.625575843747</v>
      </c>
      <c r="E19" s="109">
        <f>+'General Fund'!K146</f>
        <v>10348.559959481401</v>
      </c>
      <c r="F19" s="109">
        <f>+'General Fund'!L146</f>
        <v>10503.788358873622</v>
      </c>
    </row>
    <row r="20" spans="1:6" x14ac:dyDescent="0.25">
      <c r="A20" s="94" t="s">
        <v>275</v>
      </c>
      <c r="B20" s="109">
        <f>+'Total Summary'!$H$145</f>
        <v>37750</v>
      </c>
      <c r="C20" s="109">
        <f>+'Total Summary'!$I$145</f>
        <v>37750</v>
      </c>
      <c r="D20" s="109">
        <f>+'Total Summary'!J145</f>
        <v>37750</v>
      </c>
      <c r="E20" s="109">
        <f>+'Total Summary'!$K$145</f>
        <v>37750</v>
      </c>
      <c r="F20" s="109">
        <f>+'Total Summary'!$L$145</f>
        <v>37750</v>
      </c>
    </row>
    <row r="21" spans="1:6" x14ac:dyDescent="0.25">
      <c r="A21" s="94" t="s">
        <v>276</v>
      </c>
      <c r="B21" s="109">
        <f>$B$8</f>
        <v>0</v>
      </c>
      <c r="C21" s="109">
        <f>B21</f>
        <v>0</v>
      </c>
      <c r="D21" s="109">
        <f t="shared" ref="D21:F21" si="7">C21</f>
        <v>0</v>
      </c>
      <c r="E21" s="109">
        <f t="shared" si="7"/>
        <v>0</v>
      </c>
      <c r="F21" s="109">
        <f t="shared" si="7"/>
        <v>0</v>
      </c>
    </row>
    <row r="22" spans="1:6" x14ac:dyDescent="0.25">
      <c r="A22" s="94" t="s">
        <v>277</v>
      </c>
      <c r="B22" s="141">
        <f>$B$9</f>
        <v>0</v>
      </c>
      <c r="C22" s="141">
        <f>B22</f>
        <v>0</v>
      </c>
      <c r="D22" s="141">
        <f t="shared" ref="D22:F22" si="8">C22</f>
        <v>0</v>
      </c>
      <c r="E22" s="141">
        <f t="shared" si="8"/>
        <v>0</v>
      </c>
      <c r="F22" s="141">
        <f t="shared" si="8"/>
        <v>0</v>
      </c>
    </row>
    <row r="23" spans="1:6" x14ac:dyDescent="0.25">
      <c r="A23" s="94" t="s">
        <v>278</v>
      </c>
      <c r="B23" s="109">
        <f>SUM(B17:B22)</f>
        <v>37616.014869999999</v>
      </c>
      <c r="C23" s="109">
        <f t="shared" ref="C23" si="9">SUM(C17:C22)</f>
        <v>21447.638766249998</v>
      </c>
      <c r="D23" s="109">
        <f t="shared" ref="D23" si="10">SUM(D17:D22)</f>
        <v>29274.030895843749</v>
      </c>
      <c r="E23" s="109">
        <f t="shared" ref="E23" si="11">SUM(E17:E22)</f>
        <v>46890.566599481404</v>
      </c>
      <c r="F23" s="109">
        <f t="shared" ref="F23" si="12">SUM(F17:F22)</f>
        <v>50604.86907887362</v>
      </c>
    </row>
    <row r="24" spans="1:6" x14ac:dyDescent="0.25">
      <c r="A24" s="94" t="s">
        <v>293</v>
      </c>
      <c r="B24" s="141">
        <f>'Master Input Tab'!$H$47</f>
        <v>45000</v>
      </c>
      <c r="C24" s="141">
        <f>B25</f>
        <v>82616.014869999999</v>
      </c>
      <c r="D24" s="141">
        <f t="shared" ref="D24:F24" si="13">C25</f>
        <v>104063.65363625</v>
      </c>
      <c r="E24" s="141">
        <f t="shared" si="13"/>
        <v>133337.68453209376</v>
      </c>
      <c r="F24" s="141">
        <f t="shared" si="13"/>
        <v>180228.25113157515</v>
      </c>
    </row>
    <row r="25" spans="1:6" ht="15.75" thickBot="1" x14ac:dyDescent="0.3">
      <c r="A25" s="94" t="s">
        <v>289</v>
      </c>
      <c r="B25" s="143">
        <f>SUM(B23:B24)</f>
        <v>82616.014869999999</v>
      </c>
      <c r="C25" s="143">
        <f t="shared" ref="C25" si="14">SUM(C23:C24)</f>
        <v>104063.65363625</v>
      </c>
      <c r="D25" s="143">
        <f t="shared" ref="D25" si="15">SUM(D23:D24)</f>
        <v>133337.68453209376</v>
      </c>
      <c r="E25" s="143">
        <f t="shared" ref="E25" si="16">SUM(E23:E24)</f>
        <v>180228.25113157515</v>
      </c>
      <c r="F25" s="143">
        <f t="shared" ref="F25" si="17">SUM(F23:F24)</f>
        <v>230833.12021044877</v>
      </c>
    </row>
    <row r="26" spans="1:6" ht="15.75" thickTop="1" x14ac:dyDescent="0.25"/>
    <row r="27" spans="1:6" ht="15.75" thickBot="1" x14ac:dyDescent="0.3"/>
    <row r="28" spans="1:6" ht="15.75" thickBot="1" x14ac:dyDescent="0.3">
      <c r="B28" s="139" t="s">
        <v>281</v>
      </c>
      <c r="C28" s="96"/>
      <c r="D28" s="96"/>
      <c r="E28" s="96"/>
      <c r="F28" s="97"/>
    </row>
    <row r="29" spans="1:6" ht="15.75" thickBot="1" x14ac:dyDescent="0.3">
      <c r="B29" s="102" t="str">
        <f>'Total Summary'!$H$4</f>
        <v>2014</v>
      </c>
      <c r="C29" s="102">
        <f>'Total Summary'!$I$4</f>
        <v>2015</v>
      </c>
      <c r="D29" s="102">
        <f>'Total Summary'!$J$4</f>
        <v>2016</v>
      </c>
      <c r="E29" s="102">
        <f>'Total Summary'!$K$4</f>
        <v>2017</v>
      </c>
      <c r="F29" s="102">
        <f>'Total Summary'!$L$4</f>
        <v>2018</v>
      </c>
    </row>
    <row r="30" spans="1:6" x14ac:dyDescent="0.25">
      <c r="A30" s="94" t="s">
        <v>169</v>
      </c>
      <c r="B30" s="109">
        <f>'Road Fund'!H156</f>
        <v>-25309.15047</v>
      </c>
      <c r="C30" s="109">
        <f>'Road Fund'!I156</f>
        <v>-24563.78773</v>
      </c>
      <c r="D30" s="109">
        <f>'Road Fund'!J156</f>
        <v>1192.7554600000001</v>
      </c>
      <c r="E30" s="109">
        <f>'Road Fund'!K156</f>
        <v>1960.64679</v>
      </c>
      <c r="F30" s="109">
        <f>'Road Fund'!L156</f>
        <v>2740.0564899999999</v>
      </c>
    </row>
    <row r="31" spans="1:6" x14ac:dyDescent="0.25">
      <c r="A31" s="94" t="s">
        <v>273</v>
      </c>
      <c r="B31" s="109">
        <f>$B$5</f>
        <v>0</v>
      </c>
      <c r="C31" s="109">
        <f>B31</f>
        <v>0</v>
      </c>
      <c r="D31" s="109">
        <f t="shared" ref="D31:F31" si="18">C31</f>
        <v>0</v>
      </c>
      <c r="E31" s="109">
        <f t="shared" si="18"/>
        <v>0</v>
      </c>
      <c r="F31" s="109">
        <f t="shared" si="18"/>
        <v>0</v>
      </c>
    </row>
    <row r="32" spans="1:6" x14ac:dyDescent="0.25">
      <c r="A32" s="94" t="s">
        <v>274</v>
      </c>
      <c r="B32" s="109">
        <f>+'Road Fund'!H146</f>
        <v>2092.2462959999998</v>
      </c>
      <c r="C32" s="109">
        <f>+'Road Fund'!I146</f>
        <v>2123.6299904399998</v>
      </c>
      <c r="D32" s="109">
        <f>+'Road Fund'!J146</f>
        <v>2155.4844402965996</v>
      </c>
      <c r="E32" s="109">
        <f>+'Road Fund'!K146</f>
        <v>2187.8167069010478</v>
      </c>
      <c r="F32" s="109">
        <f>+'Road Fund'!L146</f>
        <v>2220.6339575045636</v>
      </c>
    </row>
    <row r="33" spans="1:6" x14ac:dyDescent="0.25">
      <c r="A33" s="94" t="s">
        <v>275</v>
      </c>
      <c r="B33" s="109">
        <f>+'Road Fund'!H145</f>
        <v>0</v>
      </c>
      <c r="C33" s="109">
        <f>+'Road Fund'!I145</f>
        <v>0</v>
      </c>
      <c r="D33" s="109">
        <f>+'Road Fund'!J145</f>
        <v>0</v>
      </c>
      <c r="E33" s="109">
        <f>+'Road Fund'!K145</f>
        <v>0</v>
      </c>
      <c r="F33" s="109">
        <f>+'Road Fund'!L145</f>
        <v>0</v>
      </c>
    </row>
    <row r="34" spans="1:6" x14ac:dyDescent="0.25">
      <c r="A34" s="94" t="s">
        <v>276</v>
      </c>
      <c r="B34" s="109">
        <f>$B$8</f>
        <v>0</v>
      </c>
      <c r="C34" s="109">
        <f>B34</f>
        <v>0</v>
      </c>
      <c r="D34" s="109">
        <f t="shared" ref="D34:F34" si="19">C34</f>
        <v>0</v>
      </c>
      <c r="E34" s="109">
        <f t="shared" si="19"/>
        <v>0</v>
      </c>
      <c r="F34" s="109">
        <f t="shared" si="19"/>
        <v>0</v>
      </c>
    </row>
    <row r="35" spans="1:6" x14ac:dyDescent="0.25">
      <c r="A35" s="94" t="s">
        <v>277</v>
      </c>
      <c r="B35" s="141">
        <f>$B$9</f>
        <v>0</v>
      </c>
      <c r="C35" s="141">
        <f>B35</f>
        <v>0</v>
      </c>
      <c r="D35" s="141">
        <f t="shared" ref="D35:F35" si="20">C35</f>
        <v>0</v>
      </c>
      <c r="E35" s="141">
        <f t="shared" si="20"/>
        <v>0</v>
      </c>
      <c r="F35" s="141">
        <f t="shared" si="20"/>
        <v>0</v>
      </c>
    </row>
    <row r="36" spans="1:6" x14ac:dyDescent="0.25">
      <c r="A36" s="94" t="s">
        <v>278</v>
      </c>
      <c r="B36" s="109">
        <f>SUM(B30:B35)</f>
        <v>-23216.904173999999</v>
      </c>
      <c r="C36" s="109">
        <f t="shared" ref="C36" si="21">SUM(C30:C35)</f>
        <v>-22440.15773956</v>
      </c>
      <c r="D36" s="109">
        <f t="shared" ref="D36" si="22">SUM(D30:D35)</f>
        <v>3348.2399002965994</v>
      </c>
      <c r="E36" s="109">
        <f t="shared" ref="E36" si="23">SUM(E30:E35)</f>
        <v>4148.4634969010476</v>
      </c>
      <c r="F36" s="109">
        <f t="shared" ref="F36" si="24">SUM(F30:F35)</f>
        <v>4960.6904475045631</v>
      </c>
    </row>
    <row r="37" spans="1:6" x14ac:dyDescent="0.25">
      <c r="A37" s="94" t="s">
        <v>293</v>
      </c>
      <c r="B37" s="141">
        <f>'Master Input Tab'!$H$48</f>
        <v>50000</v>
      </c>
      <c r="C37" s="141">
        <f>B38</f>
        <v>26783.095826000001</v>
      </c>
      <c r="D37" s="141">
        <f t="shared" ref="D37:F37" si="25">C38</f>
        <v>4342.9380864400009</v>
      </c>
      <c r="E37" s="141">
        <f t="shared" si="25"/>
        <v>7691.1779867366004</v>
      </c>
      <c r="F37" s="141">
        <f t="shared" si="25"/>
        <v>11839.641483637648</v>
      </c>
    </row>
    <row r="38" spans="1:6" ht="15.75" thickBot="1" x14ac:dyDescent="0.3">
      <c r="A38" s="94" t="s">
        <v>289</v>
      </c>
      <c r="B38" s="143">
        <f>SUM(B36:B37)</f>
        <v>26783.095826000001</v>
      </c>
      <c r="C38" s="143">
        <f t="shared" ref="C38" si="26">SUM(C36:C37)</f>
        <v>4342.9380864400009</v>
      </c>
      <c r="D38" s="143">
        <f t="shared" ref="D38" si="27">SUM(D36:D37)</f>
        <v>7691.1779867366004</v>
      </c>
      <c r="E38" s="143">
        <f t="shared" ref="E38" si="28">SUM(E36:E37)</f>
        <v>11839.641483637648</v>
      </c>
      <c r="F38" s="143">
        <f t="shared" ref="F38" si="29">SUM(F36:F37)</f>
        <v>16800.331931142209</v>
      </c>
    </row>
    <row r="39" spans="1:6" ht="15.75" thickTop="1" x14ac:dyDescent="0.25"/>
    <row r="40" spans="1:6" ht="15.75" thickBot="1" x14ac:dyDescent="0.3"/>
    <row r="41" spans="1:6" ht="15.75" thickBot="1" x14ac:dyDescent="0.3">
      <c r="B41" s="139" t="s">
        <v>282</v>
      </c>
      <c r="C41" s="96"/>
      <c r="D41" s="96"/>
      <c r="E41" s="96"/>
      <c r="F41" s="97"/>
    </row>
    <row r="42" spans="1:6" ht="15.75" thickBot="1" x14ac:dyDescent="0.3">
      <c r="B42" s="102" t="str">
        <f>'Total Summary'!$H$4</f>
        <v>2014</v>
      </c>
      <c r="C42" s="102">
        <f>'Total Summary'!$I$4</f>
        <v>2015</v>
      </c>
      <c r="D42" s="102">
        <f>'Total Summary'!$J$4</f>
        <v>2016</v>
      </c>
      <c r="E42" s="102">
        <f>'Total Summary'!$K$4</f>
        <v>2017</v>
      </c>
      <c r="F42" s="102">
        <f>'Total Summary'!$L$4</f>
        <v>2018</v>
      </c>
    </row>
    <row r="43" spans="1:6" x14ac:dyDescent="0.25">
      <c r="A43" s="94" t="s">
        <v>169</v>
      </c>
      <c r="B43" s="109">
        <f>'Lake Fund'!H156</f>
        <v>10015.66814</v>
      </c>
      <c r="C43" s="109">
        <f>'Lake Fund'!I156</f>
        <v>-55409.526830000003</v>
      </c>
      <c r="D43" s="109">
        <f>'Lake Fund'!J156</f>
        <v>22924.885259999999</v>
      </c>
      <c r="E43" s="109">
        <f>'Lake Fund'!K156</f>
        <v>-51792.96645</v>
      </c>
      <c r="F43" s="109">
        <f>'Lake Fund'!L156</f>
        <v>11834.04905</v>
      </c>
    </row>
    <row r="44" spans="1:6" x14ac:dyDescent="0.25">
      <c r="A44" s="94" t="s">
        <v>273</v>
      </c>
      <c r="B44" s="109">
        <f>$B$5</f>
        <v>0</v>
      </c>
      <c r="C44" s="109">
        <f>B44</f>
        <v>0</v>
      </c>
      <c r="D44" s="109">
        <f t="shared" ref="D44:F44" si="30">C44</f>
        <v>0</v>
      </c>
      <c r="E44" s="109">
        <f t="shared" si="30"/>
        <v>0</v>
      </c>
      <c r="F44" s="109">
        <f t="shared" si="30"/>
        <v>0</v>
      </c>
    </row>
    <row r="45" spans="1:6" x14ac:dyDescent="0.25">
      <c r="A45" s="94" t="s">
        <v>274</v>
      </c>
      <c r="B45" s="109">
        <f>+'Lake Fund'!H146</f>
        <v>1610.6807639999997</v>
      </c>
      <c r="C45" s="109">
        <f>+'Lake Fund'!I146</f>
        <v>1634.8409754599995</v>
      </c>
      <c r="D45" s="109">
        <f>+'Lake Fund'!J146</f>
        <v>1659.3635900918994</v>
      </c>
      <c r="E45" s="109">
        <f>+'Lake Fund'!K146</f>
        <v>1684.2540439432778</v>
      </c>
      <c r="F45" s="109">
        <f>+'Lake Fund'!L146</f>
        <v>1709.517854602427</v>
      </c>
    </row>
    <row r="46" spans="1:6" x14ac:dyDescent="0.25">
      <c r="A46" s="94" t="s">
        <v>275</v>
      </c>
      <c r="B46" s="109">
        <f>+'Lake Fund'!H145</f>
        <v>0</v>
      </c>
      <c r="C46" s="109">
        <f>+'Lake Fund'!I145</f>
        <v>0</v>
      </c>
      <c r="D46" s="109">
        <f>+'Lake Fund'!J145</f>
        <v>0</v>
      </c>
      <c r="E46" s="109">
        <f>+'Lake Fund'!K145</f>
        <v>0</v>
      </c>
      <c r="F46" s="109">
        <f>+'Lake Fund'!L145</f>
        <v>0</v>
      </c>
    </row>
    <row r="47" spans="1:6" x14ac:dyDescent="0.25">
      <c r="A47" s="94" t="s">
        <v>276</v>
      </c>
      <c r="B47" s="109">
        <f>$B$8</f>
        <v>0</v>
      </c>
      <c r="C47" s="109">
        <f>B47</f>
        <v>0</v>
      </c>
      <c r="D47" s="109">
        <f t="shared" ref="D47:F47" si="31">C47</f>
        <v>0</v>
      </c>
      <c r="E47" s="109">
        <f t="shared" si="31"/>
        <v>0</v>
      </c>
      <c r="F47" s="109">
        <f t="shared" si="31"/>
        <v>0</v>
      </c>
    </row>
    <row r="48" spans="1:6" x14ac:dyDescent="0.25">
      <c r="A48" s="94" t="s">
        <v>277</v>
      </c>
      <c r="B48" s="141">
        <f>$B$9</f>
        <v>0</v>
      </c>
      <c r="C48" s="141">
        <f>B48</f>
        <v>0</v>
      </c>
      <c r="D48" s="141">
        <f t="shared" ref="D48:F48" si="32">C48</f>
        <v>0</v>
      </c>
      <c r="E48" s="141">
        <f t="shared" si="32"/>
        <v>0</v>
      </c>
      <c r="F48" s="141">
        <f t="shared" si="32"/>
        <v>0</v>
      </c>
    </row>
    <row r="49" spans="1:6" x14ac:dyDescent="0.25">
      <c r="A49" s="94" t="s">
        <v>278</v>
      </c>
      <c r="B49" s="109">
        <f>SUM(B43:B48)</f>
        <v>11626.348903999999</v>
      </c>
      <c r="C49" s="109">
        <f t="shared" ref="C49" si="33">SUM(C43:C48)</f>
        <v>-53774.685854540003</v>
      </c>
      <c r="D49" s="109">
        <f t="shared" ref="D49" si="34">SUM(D43:D48)</f>
        <v>24584.248850091899</v>
      </c>
      <c r="E49" s="109">
        <f t="shared" ref="E49" si="35">SUM(E43:E48)</f>
        <v>-50108.712406056722</v>
      </c>
      <c r="F49" s="109">
        <f t="shared" ref="F49" si="36">SUM(F43:F48)</f>
        <v>13543.566904602427</v>
      </c>
    </row>
    <row r="50" spans="1:6" x14ac:dyDescent="0.25">
      <c r="A50" s="94" t="s">
        <v>293</v>
      </c>
      <c r="B50" s="141">
        <f>'Master Input Tab'!$H$49</f>
        <v>145000</v>
      </c>
      <c r="C50" s="141">
        <f>B51</f>
        <v>156626.34890400001</v>
      </c>
      <c r="D50" s="141">
        <f t="shared" ref="D50:F50" si="37">C51</f>
        <v>102851.66304946001</v>
      </c>
      <c r="E50" s="141">
        <f t="shared" si="37"/>
        <v>127435.91189955191</v>
      </c>
      <c r="F50" s="141">
        <f t="shared" si="37"/>
        <v>77327.199493495194</v>
      </c>
    </row>
    <row r="51" spans="1:6" ht="15.75" thickBot="1" x14ac:dyDescent="0.3">
      <c r="A51" s="94" t="s">
        <v>289</v>
      </c>
      <c r="B51" s="143">
        <f>SUM(B49:B50)</f>
        <v>156626.34890400001</v>
      </c>
      <c r="C51" s="143">
        <f t="shared" ref="C51" si="38">SUM(C49:C50)</f>
        <v>102851.66304946001</v>
      </c>
      <c r="D51" s="143">
        <f t="shared" ref="D51" si="39">SUM(D49:D50)</f>
        <v>127435.91189955191</v>
      </c>
      <c r="E51" s="143">
        <f t="shared" ref="E51" si="40">SUM(E49:E50)</f>
        <v>77327.199493495194</v>
      </c>
      <c r="F51" s="143">
        <f t="shared" ref="F51" si="41">SUM(F49:F50)</f>
        <v>90870.766398097621</v>
      </c>
    </row>
    <row r="52" spans="1:6" ht="16.5" thickTop="1" thickBot="1" x14ac:dyDescent="0.3"/>
    <row r="53" spans="1:6" ht="15.75" thickBot="1" x14ac:dyDescent="0.3">
      <c r="B53" s="139" t="s">
        <v>288</v>
      </c>
      <c r="C53" s="96"/>
      <c r="D53" s="96"/>
      <c r="E53" s="96"/>
      <c r="F53" s="97"/>
    </row>
    <row r="54" spans="1:6" ht="15.75" thickBot="1" x14ac:dyDescent="0.3">
      <c r="B54" s="102" t="str">
        <f>'Total Summary'!$H$4</f>
        <v>2014</v>
      </c>
      <c r="C54" s="102">
        <f>'Total Summary'!$I$4</f>
        <v>2015</v>
      </c>
      <c r="D54" s="102">
        <f>'Total Summary'!$J$4</f>
        <v>2016</v>
      </c>
      <c r="E54" s="102">
        <f>'Total Summary'!$K$4</f>
        <v>2017</v>
      </c>
      <c r="F54" s="102">
        <f>'Total Summary'!$L$4</f>
        <v>2018</v>
      </c>
    </row>
    <row r="55" spans="1:6" x14ac:dyDescent="0.25">
      <c r="A55" s="94" t="s">
        <v>169</v>
      </c>
      <c r="B55" s="109">
        <f>'Emergency Fund'!H156</f>
        <v>12370.62969</v>
      </c>
      <c r="C55" s="109">
        <f>'Emergency Fund'!I156</f>
        <v>12556.189130000001</v>
      </c>
      <c r="D55" s="109">
        <f>'Emergency Fund'!J156</f>
        <v>12744.53197</v>
      </c>
      <c r="E55" s="109">
        <f>'Emergency Fund'!K156</f>
        <v>12935.69995</v>
      </c>
      <c r="F55" s="109">
        <f>'Emergency Fund'!L156</f>
        <v>13129.73545</v>
      </c>
    </row>
    <row r="56" spans="1:6" x14ac:dyDescent="0.25">
      <c r="A56" s="94" t="s">
        <v>273</v>
      </c>
      <c r="B56" s="109">
        <f>$B$5</f>
        <v>0</v>
      </c>
      <c r="C56" s="109">
        <f>B56</f>
        <v>0</v>
      </c>
      <c r="D56" s="109">
        <f t="shared" ref="D56:F56" si="42">C56</f>
        <v>0</v>
      </c>
      <c r="E56" s="109">
        <f t="shared" si="42"/>
        <v>0</v>
      </c>
      <c r="F56" s="109">
        <f t="shared" si="42"/>
        <v>0</v>
      </c>
    </row>
    <row r="57" spans="1:6" x14ac:dyDescent="0.25">
      <c r="A57" s="94" t="s">
        <v>274</v>
      </c>
      <c r="B57" s="109">
        <f>+'Lake Fund'!H159</f>
        <v>0</v>
      </c>
      <c r="C57" s="109">
        <f>+'Lake Fund'!I159</f>
        <v>0</v>
      </c>
      <c r="D57" s="109">
        <f>+'Lake Fund'!J159</f>
        <v>0</v>
      </c>
      <c r="E57" s="109">
        <f>+'Lake Fund'!K159</f>
        <v>0</v>
      </c>
      <c r="F57" s="109">
        <f>+'Lake Fund'!L159</f>
        <v>0</v>
      </c>
    </row>
    <row r="58" spans="1:6" x14ac:dyDescent="0.25">
      <c r="A58" s="94" t="s">
        <v>275</v>
      </c>
      <c r="B58" s="109">
        <f>+'Lake Fund'!H158</f>
        <v>0</v>
      </c>
      <c r="C58" s="109">
        <f>+'Lake Fund'!I158</f>
        <v>0</v>
      </c>
      <c r="D58" s="109">
        <f>+'Lake Fund'!J158</f>
        <v>0</v>
      </c>
      <c r="E58" s="109">
        <f>+'Lake Fund'!K158</f>
        <v>0</v>
      </c>
      <c r="F58" s="109">
        <f>+'Lake Fund'!L158</f>
        <v>0</v>
      </c>
    </row>
    <row r="59" spans="1:6" x14ac:dyDescent="0.25">
      <c r="A59" s="94" t="s">
        <v>276</v>
      </c>
      <c r="B59" s="109">
        <f>$B$8</f>
        <v>0</v>
      </c>
      <c r="C59" s="109">
        <f>B59</f>
        <v>0</v>
      </c>
      <c r="D59" s="109">
        <f t="shared" ref="D59:F59" si="43">C59</f>
        <v>0</v>
      </c>
      <c r="E59" s="109">
        <f t="shared" si="43"/>
        <v>0</v>
      </c>
      <c r="F59" s="109">
        <f t="shared" si="43"/>
        <v>0</v>
      </c>
    </row>
    <row r="60" spans="1:6" x14ac:dyDescent="0.25">
      <c r="A60" s="94" t="s">
        <v>277</v>
      </c>
      <c r="B60" s="141">
        <f>$B$9</f>
        <v>0</v>
      </c>
      <c r="C60" s="141">
        <f>B60</f>
        <v>0</v>
      </c>
      <c r="D60" s="141">
        <f t="shared" ref="D60:F60" si="44">C60</f>
        <v>0</v>
      </c>
      <c r="E60" s="141">
        <f t="shared" si="44"/>
        <v>0</v>
      </c>
      <c r="F60" s="141">
        <f t="shared" si="44"/>
        <v>0</v>
      </c>
    </row>
    <row r="61" spans="1:6" x14ac:dyDescent="0.25">
      <c r="A61" s="94" t="s">
        <v>278</v>
      </c>
      <c r="B61" s="109">
        <f>SUM(B55:B60)</f>
        <v>12370.62969</v>
      </c>
      <c r="C61" s="109">
        <f t="shared" ref="C61" si="45">SUM(C55:C60)</f>
        <v>12556.189130000001</v>
      </c>
      <c r="D61" s="109">
        <f t="shared" ref="D61" si="46">SUM(D55:D60)</f>
        <v>12744.53197</v>
      </c>
      <c r="E61" s="109">
        <f t="shared" ref="E61" si="47">SUM(E55:E60)</f>
        <v>12935.69995</v>
      </c>
      <c r="F61" s="109">
        <f t="shared" ref="F61" si="48">SUM(F55:F60)</f>
        <v>13129.73545</v>
      </c>
    </row>
    <row r="62" spans="1:6" x14ac:dyDescent="0.25">
      <c r="A62" s="94" t="s">
        <v>293</v>
      </c>
      <c r="B62" s="141">
        <f>'Master Input Tab'!$H$50</f>
        <v>50000</v>
      </c>
      <c r="C62" s="141">
        <f>B63</f>
        <v>62370.629690000002</v>
      </c>
      <c r="D62" s="141">
        <f t="shared" ref="D62:F62" si="49">C63</f>
        <v>74926.81882</v>
      </c>
      <c r="E62" s="141">
        <f t="shared" si="49"/>
        <v>87671.350789999997</v>
      </c>
      <c r="F62" s="141">
        <f t="shared" si="49"/>
        <v>100607.05073999999</v>
      </c>
    </row>
    <row r="63" spans="1:6" ht="15.75" thickBot="1" x14ac:dyDescent="0.3">
      <c r="A63" s="94" t="s">
        <v>289</v>
      </c>
      <c r="B63" s="143">
        <f>SUM(B61:B62)</f>
        <v>62370.629690000002</v>
      </c>
      <c r="C63" s="143">
        <f t="shared" ref="C63" si="50">SUM(C61:C62)</f>
        <v>74926.81882</v>
      </c>
      <c r="D63" s="143">
        <f t="shared" ref="D63" si="51">SUM(D61:D62)</f>
        <v>87671.350789999997</v>
      </c>
      <c r="E63" s="143">
        <f t="shared" ref="E63" si="52">SUM(E61:E62)</f>
        <v>100607.05073999999</v>
      </c>
      <c r="F63" s="143">
        <f t="shared" ref="F63" si="53">SUM(F61:F62)</f>
        <v>113736.78618999998</v>
      </c>
    </row>
    <row r="64" spans="1:6" ht="15.75" thickTop="1" x14ac:dyDescent="0.25"/>
  </sheetData>
  <sheetProtection password="CC20" sheet="1" objects="1" scenarios="1"/>
  <mergeCells count="5">
    <mergeCell ref="B53:F53"/>
    <mergeCell ref="B2:F2"/>
    <mergeCell ref="B15:F15"/>
    <mergeCell ref="B28:F28"/>
    <mergeCell ref="B41:F41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N37"/>
  <sheetViews>
    <sheetView showGridLines="0" workbookViewId="0">
      <selection activeCell="A15" sqref="A15:XFD21"/>
    </sheetView>
  </sheetViews>
  <sheetFormatPr defaultRowHeight="15" x14ac:dyDescent="0.25"/>
  <cols>
    <col min="4" max="4" width="12.140625" customWidth="1"/>
    <col min="9" max="9" width="12.7109375" style="37" bestFit="1" customWidth="1"/>
    <col min="10" max="12" width="11.28515625" bestFit="1" customWidth="1"/>
    <col min="13" max="14" width="10.5703125" bestFit="1" customWidth="1"/>
  </cols>
  <sheetData>
    <row r="1" spans="1:14" ht="15.75" thickBot="1" x14ac:dyDescent="0.3">
      <c r="A1" s="87" t="s">
        <v>179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ht="15.75" thickBot="1" x14ac:dyDescent="0.3"/>
    <row r="3" spans="1:14" ht="15.75" thickBot="1" x14ac:dyDescent="0.3">
      <c r="A3" s="82" t="s">
        <v>218</v>
      </c>
      <c r="B3" s="82" t="s">
        <v>219</v>
      </c>
      <c r="C3" s="82" t="s">
        <v>265</v>
      </c>
      <c r="D3" s="82" t="s">
        <v>228</v>
      </c>
      <c r="E3" s="87" t="s">
        <v>220</v>
      </c>
      <c r="F3" s="88"/>
      <c r="G3" s="88"/>
      <c r="H3" s="89"/>
      <c r="I3" s="83" t="s">
        <v>229</v>
      </c>
      <c r="J3" s="81" t="str">
        <f>'Total Summary'!$H$4</f>
        <v>2014</v>
      </c>
      <c r="K3" s="81">
        <f>'Total Summary'!$I$4</f>
        <v>2015</v>
      </c>
      <c r="L3" s="81">
        <f>'Total Summary'!$J$4</f>
        <v>2016</v>
      </c>
      <c r="M3" s="81">
        <f>'Total Summary'!$K$4</f>
        <v>2017</v>
      </c>
      <c r="N3" s="81">
        <f>'Total Summary'!$L$4</f>
        <v>2018</v>
      </c>
    </row>
    <row r="4" spans="1:14" x14ac:dyDescent="0.25">
      <c r="A4" t="s">
        <v>231</v>
      </c>
      <c r="B4" t="s">
        <v>231</v>
      </c>
      <c r="D4" s="75">
        <v>2014</v>
      </c>
      <c r="E4" t="s">
        <v>187</v>
      </c>
      <c r="I4" s="64">
        <v>4000</v>
      </c>
      <c r="J4" s="12" t="str">
        <f t="shared" ref="J4:J20" si="0">IF($B4=$J$3,"X","")</f>
        <v/>
      </c>
      <c r="K4" s="12" t="str">
        <f t="shared" ref="K4:K20" si="1">IF($B4=$K$3,"X","")</f>
        <v/>
      </c>
      <c r="L4" s="12" t="str">
        <f t="shared" ref="L4:L20" si="2">IF($B4=$L$3,"X","")</f>
        <v/>
      </c>
      <c r="M4" s="12" t="str">
        <f t="shared" ref="M4:M20" si="3">IF($B4=$M$3,"X","")</f>
        <v/>
      </c>
      <c r="N4" s="12" t="str">
        <f t="shared" ref="N4:N20" si="4">IF($B4=$N$3,"X","")</f>
        <v/>
      </c>
    </row>
    <row r="5" spans="1:14" x14ac:dyDescent="0.25">
      <c r="A5" t="s">
        <v>231</v>
      </c>
      <c r="B5" t="s">
        <v>231</v>
      </c>
      <c r="D5" s="75">
        <v>2014</v>
      </c>
      <c r="E5" s="38" t="s">
        <v>191</v>
      </c>
      <c r="I5" s="64">
        <v>3500</v>
      </c>
      <c r="J5" s="65" t="str">
        <f t="shared" si="0"/>
        <v/>
      </c>
      <c r="K5" s="65" t="str">
        <f t="shared" si="1"/>
        <v/>
      </c>
      <c r="L5" s="65" t="str">
        <f t="shared" si="2"/>
        <v/>
      </c>
      <c r="M5" s="65" t="str">
        <f t="shared" si="3"/>
        <v/>
      </c>
      <c r="N5" s="12" t="str">
        <f t="shared" si="4"/>
        <v/>
      </c>
    </row>
    <row r="6" spans="1:14" x14ac:dyDescent="0.25">
      <c r="A6" t="s">
        <v>231</v>
      </c>
      <c r="B6" t="s">
        <v>231</v>
      </c>
      <c r="D6" s="75">
        <v>2014</v>
      </c>
      <c r="E6" t="s">
        <v>193</v>
      </c>
      <c r="I6" s="64">
        <v>2500</v>
      </c>
      <c r="J6" s="65" t="str">
        <f t="shared" si="0"/>
        <v/>
      </c>
      <c r="K6" s="65" t="str">
        <f t="shared" si="1"/>
        <v/>
      </c>
      <c r="L6" s="65" t="str">
        <f t="shared" si="2"/>
        <v/>
      </c>
      <c r="M6" s="65" t="str">
        <f t="shared" si="3"/>
        <v/>
      </c>
      <c r="N6" s="12" t="str">
        <f t="shared" si="4"/>
        <v/>
      </c>
    </row>
    <row r="7" spans="1:14" x14ac:dyDescent="0.25">
      <c r="A7" t="s">
        <v>231</v>
      </c>
      <c r="B7" t="s">
        <v>231</v>
      </c>
      <c r="D7" s="75">
        <v>2014</v>
      </c>
      <c r="E7" t="s">
        <v>189</v>
      </c>
      <c r="I7" s="64">
        <v>1000</v>
      </c>
      <c r="J7" s="65" t="str">
        <f t="shared" si="0"/>
        <v/>
      </c>
      <c r="K7" s="65" t="str">
        <f t="shared" si="1"/>
        <v/>
      </c>
      <c r="L7" s="65" t="str">
        <f t="shared" si="2"/>
        <v/>
      </c>
      <c r="M7" s="65" t="str">
        <f t="shared" si="3"/>
        <v/>
      </c>
      <c r="N7" s="12" t="str">
        <f t="shared" si="4"/>
        <v/>
      </c>
    </row>
    <row r="8" spans="1:14" x14ac:dyDescent="0.25">
      <c r="A8" t="s">
        <v>231</v>
      </c>
      <c r="B8" t="s">
        <v>231</v>
      </c>
      <c r="D8" s="75">
        <v>2014</v>
      </c>
      <c r="E8" t="s">
        <v>303</v>
      </c>
      <c r="I8" s="64">
        <v>5500</v>
      </c>
      <c r="J8" s="65" t="str">
        <f t="shared" si="0"/>
        <v/>
      </c>
      <c r="K8" s="65" t="str">
        <f t="shared" si="1"/>
        <v/>
      </c>
      <c r="L8" s="65" t="str">
        <f t="shared" si="2"/>
        <v/>
      </c>
      <c r="M8" s="65" t="str">
        <f t="shared" si="3"/>
        <v/>
      </c>
      <c r="N8" s="12" t="str">
        <f t="shared" si="4"/>
        <v/>
      </c>
    </row>
    <row r="9" spans="1:14" x14ac:dyDescent="0.25">
      <c r="A9" t="s">
        <v>231</v>
      </c>
      <c r="B9" t="s">
        <v>231</v>
      </c>
      <c r="D9" s="75">
        <v>2015</v>
      </c>
      <c r="E9" t="s">
        <v>188</v>
      </c>
      <c r="I9" s="64">
        <v>4500</v>
      </c>
      <c r="J9" s="65" t="str">
        <f t="shared" si="0"/>
        <v/>
      </c>
      <c r="K9" s="65" t="str">
        <f t="shared" si="1"/>
        <v/>
      </c>
      <c r="L9" s="65" t="str">
        <f t="shared" si="2"/>
        <v/>
      </c>
      <c r="M9" s="65" t="str">
        <f t="shared" si="3"/>
        <v/>
      </c>
      <c r="N9" s="12" t="str">
        <f t="shared" si="4"/>
        <v/>
      </c>
    </row>
    <row r="10" spans="1:14" x14ac:dyDescent="0.25">
      <c r="A10" t="s">
        <v>231</v>
      </c>
      <c r="B10" t="s">
        <v>231</v>
      </c>
      <c r="D10" s="75">
        <v>2015</v>
      </c>
      <c r="E10" t="s">
        <v>196</v>
      </c>
      <c r="I10" s="66">
        <v>10000</v>
      </c>
      <c r="J10" s="65" t="str">
        <f t="shared" si="0"/>
        <v/>
      </c>
      <c r="K10" s="65" t="str">
        <f t="shared" si="1"/>
        <v/>
      </c>
      <c r="L10" s="65" t="str">
        <f t="shared" si="2"/>
        <v/>
      </c>
      <c r="M10" s="65" t="str">
        <f t="shared" si="3"/>
        <v/>
      </c>
      <c r="N10" s="12" t="str">
        <f t="shared" si="4"/>
        <v/>
      </c>
    </row>
    <row r="11" spans="1:14" x14ac:dyDescent="0.25">
      <c r="A11" t="s">
        <v>231</v>
      </c>
      <c r="B11" t="s">
        <v>231</v>
      </c>
      <c r="D11" s="75">
        <v>2015</v>
      </c>
      <c r="E11" t="s">
        <v>190</v>
      </c>
      <c r="I11" s="66">
        <v>2500</v>
      </c>
      <c r="J11" s="65" t="str">
        <f t="shared" si="0"/>
        <v/>
      </c>
      <c r="K11" s="65" t="str">
        <f t="shared" si="1"/>
        <v/>
      </c>
      <c r="L11" s="65" t="str">
        <f t="shared" si="2"/>
        <v/>
      </c>
      <c r="M11" s="65" t="str">
        <f t="shared" si="3"/>
        <v/>
      </c>
      <c r="N11" s="12" t="str">
        <f t="shared" si="4"/>
        <v/>
      </c>
    </row>
    <row r="12" spans="1:14" x14ac:dyDescent="0.25">
      <c r="A12" t="s">
        <v>231</v>
      </c>
      <c r="B12" t="s">
        <v>231</v>
      </c>
      <c r="D12" s="75">
        <v>2015</v>
      </c>
      <c r="E12" t="s">
        <v>302</v>
      </c>
      <c r="I12" s="66">
        <v>14000</v>
      </c>
      <c r="J12" s="65" t="str">
        <f t="shared" si="0"/>
        <v/>
      </c>
      <c r="K12" s="65" t="str">
        <f t="shared" si="1"/>
        <v/>
      </c>
      <c r="L12" s="65" t="str">
        <f t="shared" si="2"/>
        <v/>
      </c>
      <c r="M12" s="65" t="str">
        <f t="shared" si="3"/>
        <v/>
      </c>
      <c r="N12" s="12" t="str">
        <f t="shared" si="4"/>
        <v/>
      </c>
    </row>
    <row r="13" spans="1:14" x14ac:dyDescent="0.25">
      <c r="A13" t="s">
        <v>231</v>
      </c>
      <c r="B13" t="s">
        <v>231</v>
      </c>
      <c r="D13" s="75">
        <v>2016</v>
      </c>
      <c r="E13" t="s">
        <v>192</v>
      </c>
      <c r="I13" s="64">
        <v>25000</v>
      </c>
      <c r="J13" s="65" t="str">
        <f t="shared" si="0"/>
        <v/>
      </c>
      <c r="K13" s="65" t="str">
        <f t="shared" si="1"/>
        <v/>
      </c>
      <c r="L13" s="65" t="str">
        <f t="shared" si="2"/>
        <v/>
      </c>
      <c r="M13" s="65" t="str">
        <f t="shared" si="3"/>
        <v/>
      </c>
      <c r="N13" s="12" t="str">
        <f t="shared" si="4"/>
        <v/>
      </c>
    </row>
    <row r="14" spans="1:14" x14ac:dyDescent="0.25">
      <c r="A14" t="s">
        <v>231</v>
      </c>
      <c r="B14" t="s">
        <v>231</v>
      </c>
      <c r="D14" s="75">
        <v>2017</v>
      </c>
      <c r="E14" t="s">
        <v>194</v>
      </c>
      <c r="I14" s="64">
        <v>4500</v>
      </c>
      <c r="J14" s="65" t="str">
        <f t="shared" si="0"/>
        <v/>
      </c>
      <c r="K14" s="65" t="str">
        <f t="shared" si="1"/>
        <v/>
      </c>
      <c r="L14" s="65" t="str">
        <f t="shared" si="2"/>
        <v/>
      </c>
      <c r="M14" s="65" t="str">
        <f t="shared" si="3"/>
        <v/>
      </c>
      <c r="N14" s="12" t="str">
        <f t="shared" si="4"/>
        <v/>
      </c>
    </row>
    <row r="15" spans="1:14" x14ac:dyDescent="0.25">
      <c r="E15" t="s">
        <v>180</v>
      </c>
      <c r="I15" s="64">
        <v>20000</v>
      </c>
      <c r="J15" s="65" t="str">
        <f t="shared" si="0"/>
        <v/>
      </c>
      <c r="K15" s="65" t="str">
        <f t="shared" si="1"/>
        <v/>
      </c>
      <c r="L15" s="65" t="str">
        <f t="shared" si="2"/>
        <v/>
      </c>
      <c r="M15" s="65" t="str">
        <f t="shared" si="3"/>
        <v/>
      </c>
      <c r="N15" s="12" t="str">
        <f t="shared" si="4"/>
        <v/>
      </c>
    </row>
    <row r="16" spans="1:14" x14ac:dyDescent="0.25">
      <c r="E16" t="s">
        <v>181</v>
      </c>
      <c r="I16" s="12">
        <v>70000</v>
      </c>
      <c r="J16" s="65" t="str">
        <f t="shared" si="0"/>
        <v/>
      </c>
      <c r="K16" s="65" t="str">
        <f t="shared" si="1"/>
        <v/>
      </c>
      <c r="L16" s="65" t="str">
        <f t="shared" si="2"/>
        <v/>
      </c>
      <c r="M16" s="65" t="str">
        <f t="shared" si="3"/>
        <v/>
      </c>
      <c r="N16" s="12" t="str">
        <f t="shared" si="4"/>
        <v/>
      </c>
    </row>
    <row r="17" spans="1:14" x14ac:dyDescent="0.25">
      <c r="E17" t="s">
        <v>182</v>
      </c>
      <c r="I17" s="12">
        <v>50000</v>
      </c>
      <c r="J17" s="65" t="str">
        <f t="shared" si="0"/>
        <v/>
      </c>
      <c r="K17" s="65" t="str">
        <f t="shared" si="1"/>
        <v/>
      </c>
      <c r="L17" s="65" t="str">
        <f t="shared" si="2"/>
        <v/>
      </c>
      <c r="M17" s="65" t="str">
        <f t="shared" si="3"/>
        <v/>
      </c>
      <c r="N17" s="12" t="str">
        <f t="shared" si="4"/>
        <v/>
      </c>
    </row>
    <row r="18" spans="1:14" x14ac:dyDescent="0.25">
      <c r="E18" t="s">
        <v>183</v>
      </c>
      <c r="I18" s="12">
        <v>10000</v>
      </c>
      <c r="J18" s="65" t="str">
        <f t="shared" si="0"/>
        <v/>
      </c>
      <c r="K18" s="65" t="str">
        <f t="shared" si="1"/>
        <v/>
      </c>
      <c r="L18" s="65" t="str">
        <f t="shared" si="2"/>
        <v/>
      </c>
      <c r="M18" s="65" t="str">
        <f t="shared" si="3"/>
        <v/>
      </c>
      <c r="N18" s="12" t="str">
        <f t="shared" si="4"/>
        <v/>
      </c>
    </row>
    <row r="19" spans="1:14" x14ac:dyDescent="0.25">
      <c r="E19" t="s">
        <v>184</v>
      </c>
      <c r="I19" s="12">
        <v>30000</v>
      </c>
      <c r="J19" s="65" t="str">
        <f t="shared" si="0"/>
        <v/>
      </c>
      <c r="K19" s="65" t="str">
        <f t="shared" si="1"/>
        <v/>
      </c>
      <c r="L19" s="65" t="str">
        <f t="shared" si="2"/>
        <v/>
      </c>
      <c r="M19" s="65" t="str">
        <f t="shared" si="3"/>
        <v/>
      </c>
      <c r="N19" s="12" t="str">
        <f t="shared" si="4"/>
        <v/>
      </c>
    </row>
    <row r="20" spans="1:14" x14ac:dyDescent="0.25">
      <c r="E20" t="s">
        <v>185</v>
      </c>
      <c r="I20" s="67">
        <v>12000</v>
      </c>
      <c r="J20" s="67" t="str">
        <f t="shared" si="0"/>
        <v/>
      </c>
      <c r="K20" s="67" t="str">
        <f t="shared" si="1"/>
        <v/>
      </c>
      <c r="L20" s="67" t="str">
        <f t="shared" si="2"/>
        <v/>
      </c>
      <c r="M20" s="67" t="str">
        <f t="shared" si="3"/>
        <v/>
      </c>
      <c r="N20" s="12" t="str">
        <f t="shared" si="4"/>
        <v/>
      </c>
    </row>
    <row r="21" spans="1:14" ht="15.75" thickBot="1" x14ac:dyDescent="0.3">
      <c r="E21" t="s">
        <v>30</v>
      </c>
      <c r="I21" s="68">
        <f>SUMIF(B4:B20,"",I4:I20)</f>
        <v>192000</v>
      </c>
      <c r="J21" s="68">
        <f>-SUMIF(J4:J20,"X",$I$4:$I$20)+'General Fund'!H157</f>
        <v>-10030.488880000001</v>
      </c>
      <c r="K21" s="68">
        <f>-SUMIF(K4:K20,"X",$I$4:$I$20)+'General Fund'!I157</f>
        <v>-26347.312539999999</v>
      </c>
      <c r="L21" s="68">
        <f>-SUMIF(L4:L20,"X",$I$4:$I$20)+'General Fund'!J157</f>
        <v>-18671.594679999998</v>
      </c>
      <c r="M21" s="68">
        <f>-SUMIF(M4:M20,"X",$I$4:$I$20)+'General Fund'!K157</f>
        <v>-1207.9933599999999</v>
      </c>
      <c r="N21" s="68">
        <f>-SUMIF(N4:N20,"X",$I$4:$I$20)+'General Fund'!L157</f>
        <v>2351.0807199999999</v>
      </c>
    </row>
    <row r="22" spans="1:14" ht="15.75" thickTop="1" x14ac:dyDescent="0.25">
      <c r="I22" s="12"/>
      <c r="J22" s="12"/>
      <c r="K22" s="12"/>
      <c r="L22" s="12"/>
      <c r="M22" s="12"/>
      <c r="N22" s="12"/>
    </row>
    <row r="23" spans="1:14" hidden="1" x14ac:dyDescent="0.25">
      <c r="E23" t="s">
        <v>221</v>
      </c>
      <c r="I23" s="12">
        <f>+I21/5</f>
        <v>38400</v>
      </c>
      <c r="J23" s="12"/>
      <c r="K23" s="12"/>
      <c r="L23" s="12"/>
      <c r="M23" s="12"/>
      <c r="N23" s="12"/>
    </row>
    <row r="24" spans="1:14" hidden="1" x14ac:dyDescent="0.25">
      <c r="E24" t="s">
        <v>222</v>
      </c>
      <c r="I24" s="12">
        <f>+I23/651</f>
        <v>58.986175115207374</v>
      </c>
      <c r="J24" s="12"/>
      <c r="K24" s="12"/>
      <c r="L24" s="12"/>
      <c r="M24" s="12"/>
      <c r="N24" s="12"/>
    </row>
    <row r="25" spans="1:14" hidden="1" x14ac:dyDescent="0.25">
      <c r="E25" t="s">
        <v>223</v>
      </c>
      <c r="I25" s="63">
        <f>+I24/230.15</f>
        <v>0.25629448236023189</v>
      </c>
    </row>
    <row r="26" spans="1:14" hidden="1" x14ac:dyDescent="0.25"/>
    <row r="27" spans="1:14" hidden="1" x14ac:dyDescent="0.25">
      <c r="E27" s="62" t="s">
        <v>224</v>
      </c>
    </row>
    <row r="28" spans="1:14" hidden="1" x14ac:dyDescent="0.25">
      <c r="A28">
        <v>1</v>
      </c>
      <c r="E28" t="s">
        <v>186</v>
      </c>
    </row>
    <row r="29" spans="1:14" hidden="1" x14ac:dyDescent="0.25">
      <c r="E29" t="s">
        <v>195</v>
      </c>
    </row>
    <row r="30" spans="1:14" hidden="1" x14ac:dyDescent="0.25"/>
    <row r="31" spans="1:14" hidden="1" x14ac:dyDescent="0.25">
      <c r="A31" t="s">
        <v>225</v>
      </c>
    </row>
    <row r="32" spans="1:14" hidden="1" x14ac:dyDescent="0.25">
      <c r="A32" t="s">
        <v>226</v>
      </c>
    </row>
    <row r="33" spans="1:2" hidden="1" x14ac:dyDescent="0.25">
      <c r="A33" t="s">
        <v>227</v>
      </c>
    </row>
    <row r="34" spans="1:2" hidden="1" x14ac:dyDescent="0.25">
      <c r="A34" t="s">
        <v>230</v>
      </c>
    </row>
    <row r="35" spans="1:2" hidden="1" x14ac:dyDescent="0.25">
      <c r="B35" t="s">
        <v>264</v>
      </c>
    </row>
    <row r="36" spans="1:2" hidden="1" x14ac:dyDescent="0.25"/>
    <row r="37" spans="1:2" hidden="1" x14ac:dyDescent="0.25"/>
  </sheetData>
  <sortState ref="A4:I18">
    <sortCondition ref="D4:D18"/>
  </sortState>
  <mergeCells count="2">
    <mergeCell ref="E3:H3"/>
    <mergeCell ref="A1:N1"/>
  </mergeCells>
  <pageMargins left="0.7" right="0.7" top="0.75" bottom="0.75" header="0.3" footer="0.3"/>
  <pageSetup scale="8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Master Input Tab</vt:lpstr>
      <vt:lpstr>ONE PAGE SUMMARY</vt:lpstr>
      <vt:lpstr>Total Summary</vt:lpstr>
      <vt:lpstr>General Fund</vt:lpstr>
      <vt:lpstr>Road Fund</vt:lpstr>
      <vt:lpstr>Lake Fund</vt:lpstr>
      <vt:lpstr>Emergency Fund</vt:lpstr>
      <vt:lpstr>Cash Flows</vt:lpstr>
      <vt:lpstr>Major Projects</vt:lpstr>
      <vt:lpstr>August</vt:lpstr>
      <vt:lpstr>Summary</vt:lpstr>
      <vt:lpstr>Revenue</vt:lpstr>
      <vt:lpstr>Lodge &amp; Pool</vt:lpstr>
      <vt:lpstr>Campground</vt:lpstr>
      <vt:lpstr>Beach</vt:lpstr>
      <vt:lpstr>Property Owner Services</vt:lpstr>
      <vt:lpstr>Roads &amp; Mowing (2)</vt:lpstr>
      <vt:lpstr>Security</vt:lpstr>
      <vt:lpstr>Conservation</vt:lpstr>
      <vt:lpstr>Finance</vt:lpstr>
      <vt:lpstr>Beach!Print_Area</vt:lpstr>
      <vt:lpstr>Campground!Print_Area</vt:lpstr>
      <vt:lpstr>Conservation!Print_Area</vt:lpstr>
      <vt:lpstr>'Emergency Fund'!Print_Area</vt:lpstr>
      <vt:lpstr>'General Fund'!Print_Area</vt:lpstr>
      <vt:lpstr>'Lake Fund'!Print_Area</vt:lpstr>
      <vt:lpstr>'Lodge &amp; Pool'!Print_Area</vt:lpstr>
      <vt:lpstr>'Property Owner Services'!Print_Area</vt:lpstr>
      <vt:lpstr>Revenue!Print_Area</vt:lpstr>
      <vt:lpstr>'Road Fund'!Print_Area</vt:lpstr>
      <vt:lpstr>'Roads &amp; Mowing (2)'!Print_Area</vt:lpstr>
      <vt:lpstr>Security!Print_Area</vt:lpstr>
      <vt:lpstr>Summary!Print_Area</vt:lpstr>
      <vt:lpstr>'Total Summary'!Print_Area</vt:lpstr>
      <vt:lpstr>August!Print_Titles</vt:lpstr>
      <vt:lpstr>'Emergency Fund'!Print_Titles</vt:lpstr>
      <vt:lpstr>'General Fund'!Print_Titles</vt:lpstr>
      <vt:lpstr>'Lake Fund'!Print_Titles</vt:lpstr>
      <vt:lpstr>'Road Fund'!Print_Titles</vt:lpstr>
      <vt:lpstr>'Total Summary'!Print_Titles</vt:lpstr>
    </vt:vector>
  </TitlesOfParts>
  <Company>Caterpillar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Lemke</dc:creator>
  <cp:lastModifiedBy>h</cp:lastModifiedBy>
  <cp:lastPrinted>2013-11-06T14:48:30Z</cp:lastPrinted>
  <dcterms:created xsi:type="dcterms:W3CDTF">2013-06-05T15:42:23Z</dcterms:created>
  <dcterms:modified xsi:type="dcterms:W3CDTF">2013-11-10T15:24:05Z</dcterms:modified>
</cp:coreProperties>
</file>